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boldandsharp-my.sharepoint.com/personal/bruno_sireyjol_boldandsharp_com/Documents/1) Bold &amp; Sharp/4) Sales/1) Sales Materials/"/>
    </mc:Choice>
  </mc:AlternateContent>
  <xr:revisionPtr revIDLastSave="2594" documentId="13_ncr:20001_{8720B405-A7E3-4B04-B7A2-9A63BA17A020}" xr6:coauthVersionLast="47" xr6:coauthVersionMax="47" xr10:uidLastSave="{A33E7877-BBFD-4723-8BA3-7A233AC9BDF7}"/>
  <bookViews>
    <workbookView xWindow="-3420" yWindow="-21720" windowWidth="38640" windowHeight="21120" tabRatio="851" xr2:uid="{00000000-000D-0000-FFFF-FFFF00000000}"/>
  </bookViews>
  <sheets>
    <sheet name="Introduction" sheetId="13" r:id="rId1"/>
    <sheet name="Metrics for Leaders" sheetId="1" r:id="rId2"/>
    <sheet name="Metrics for Sales " sheetId="2" r:id="rId3"/>
    <sheet name="KPIs for Customer Centricity" sheetId="8" r:id="rId4"/>
    <sheet name="Metrics for SDRs" sheetId="3" r:id="rId5"/>
    <sheet name="Pipeline Management" sheetId="5" r:id="rId6"/>
    <sheet name="Leadgen Basic Budget Planning" sheetId="6" r:id="rId7"/>
    <sheet name="Your Most Valuable Sales" sheetId="4" r:id="rId8"/>
    <sheet name="Speaking like your CFO" sheetId="7" r:id="rId9"/>
    <sheet name="Crush the numbers" sheetId="9" r:id="rId10"/>
    <sheet name="Dicounted CF Automated" sheetId="10" r:id="rId11"/>
    <sheet name="Train your sales force" sheetId="12" r:id="rId12"/>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2" i="12" l="1"/>
  <c r="AD32" i="12"/>
  <c r="AC32" i="12"/>
  <c r="AB32" i="12"/>
  <c r="AA32" i="12"/>
  <c r="Z32" i="12"/>
  <c r="Y32" i="12"/>
  <c r="X32" i="12"/>
  <c r="W32" i="12"/>
  <c r="V32" i="12"/>
  <c r="U32" i="12"/>
  <c r="AE30" i="12"/>
  <c r="AD30" i="12"/>
  <c r="AC30" i="12"/>
  <c r="AB30" i="12"/>
  <c r="AA30" i="12"/>
  <c r="Z30" i="12"/>
  <c r="Y30" i="12"/>
  <c r="X30" i="12"/>
  <c r="W30" i="12"/>
  <c r="V30" i="12"/>
  <c r="U30" i="12"/>
  <c r="U22" i="12"/>
  <c r="U21" i="12"/>
  <c r="U23" i="12" s="1"/>
  <c r="U24" i="12" s="1"/>
  <c r="F88" i="10"/>
  <c r="F53" i="10"/>
  <c r="F52" i="10"/>
  <c r="K35" i="10"/>
  <c r="J35" i="10"/>
  <c r="L34" i="10"/>
  <c r="M34" i="10"/>
  <c r="F75" i="10"/>
  <c r="L35" i="10" s="1"/>
  <c r="F71" i="10"/>
  <c r="N34" i="10" s="1"/>
  <c r="F64" i="10"/>
  <c r="L33" i="10" s="1"/>
  <c r="F60" i="10"/>
  <c r="J32" i="10" s="1"/>
  <c r="M31" i="10"/>
  <c r="F44" i="10"/>
  <c r="L29" i="10" s="1"/>
  <c r="F40" i="10"/>
  <c r="F29" i="10"/>
  <c r="F32" i="10" s="1"/>
  <c r="H47" i="10"/>
  <c r="H46" i="10"/>
  <c r="H45" i="10"/>
  <c r="H44" i="10"/>
  <c r="I44" i="10"/>
  <c r="H43" i="10"/>
  <c r="U25" i="12" l="1"/>
  <c r="U26" i="12" s="1"/>
  <c r="V21" i="12"/>
  <c r="W21" i="12" s="1"/>
  <c r="U31" i="12"/>
  <c r="J34" i="10"/>
  <c r="M35" i="10"/>
  <c r="N32" i="10"/>
  <c r="N35" i="10"/>
  <c r="K34" i="10"/>
  <c r="F90" i="10"/>
  <c r="K33" i="10"/>
  <c r="K32" i="10"/>
  <c r="M32" i="10"/>
  <c r="L32" i="10"/>
  <c r="J33" i="10"/>
  <c r="N33" i="10"/>
  <c r="M33" i="10"/>
  <c r="L31" i="10"/>
  <c r="J31" i="10"/>
  <c r="K31" i="10"/>
  <c r="N31" i="10"/>
  <c r="J29" i="10"/>
  <c r="K29" i="10"/>
  <c r="N29" i="10"/>
  <c r="M29" i="10"/>
  <c r="U28" i="12" l="1"/>
  <c r="U29" i="12" s="1"/>
  <c r="U33" i="12" s="1"/>
  <c r="U35" i="12" s="1"/>
  <c r="U36" i="12" s="1"/>
  <c r="U27" i="12"/>
  <c r="V25" i="12"/>
  <c r="V23" i="12"/>
  <c r="V24" i="12" s="1"/>
  <c r="V22" i="12"/>
  <c r="V31" i="12" s="1"/>
  <c r="W22" i="12"/>
  <c r="W31" i="12" s="1"/>
  <c r="X21" i="12"/>
  <c r="W25" i="12"/>
  <c r="W23" i="12"/>
  <c r="W24" i="12" s="1"/>
  <c r="D21" i="12"/>
  <c r="F49" i="10"/>
  <c r="N50" i="10"/>
  <c r="M50" i="10"/>
  <c r="L50" i="10"/>
  <c r="K50" i="10"/>
  <c r="J50" i="10"/>
  <c r="I50" i="10"/>
  <c r="I46" i="10"/>
  <c r="N45" i="10"/>
  <c r="N49" i="10" s="1"/>
  <c r="M45" i="10"/>
  <c r="M49" i="10" s="1"/>
  <c r="L45" i="10"/>
  <c r="L49" i="10" s="1"/>
  <c r="K45" i="10"/>
  <c r="K49" i="10" s="1"/>
  <c r="J45" i="10"/>
  <c r="I45" i="10"/>
  <c r="I43" i="10"/>
  <c r="F41" i="10"/>
  <c r="I42" i="10"/>
  <c r="I41" i="10"/>
  <c r="F35" i="10"/>
  <c r="I36" i="10"/>
  <c r="I22" i="10"/>
  <c r="M37" i="10" s="1"/>
  <c r="D287" i="9"/>
  <c r="M336" i="9"/>
  <c r="L336" i="9"/>
  <c r="K336" i="9"/>
  <c r="J336" i="9"/>
  <c r="I336" i="9"/>
  <c r="H336" i="9"/>
  <c r="G336" i="9"/>
  <c r="F336" i="9"/>
  <c r="E336" i="9"/>
  <c r="D336" i="9"/>
  <c r="C334" i="9"/>
  <c r="C333" i="9"/>
  <c r="C332" i="9"/>
  <c r="C331" i="9"/>
  <c r="C330" i="9"/>
  <c r="C329" i="9"/>
  <c r="M326" i="9"/>
  <c r="L326" i="9"/>
  <c r="K326" i="9"/>
  <c r="J326" i="9"/>
  <c r="I326" i="9"/>
  <c r="H326" i="9"/>
  <c r="G326" i="9"/>
  <c r="F326" i="9"/>
  <c r="E326" i="9"/>
  <c r="D326" i="9"/>
  <c r="C325" i="9"/>
  <c r="C324" i="9"/>
  <c r="M319" i="9"/>
  <c r="L319" i="9"/>
  <c r="K319" i="9"/>
  <c r="J319" i="9"/>
  <c r="I319" i="9"/>
  <c r="H319" i="9"/>
  <c r="G319" i="9"/>
  <c r="F319" i="9"/>
  <c r="E319" i="9"/>
  <c r="D319" i="9"/>
  <c r="C318" i="9"/>
  <c r="C317" i="9"/>
  <c r="C316" i="9"/>
  <c r="C315" i="9"/>
  <c r="M312" i="9"/>
  <c r="L312" i="9"/>
  <c r="K312" i="9"/>
  <c r="J312" i="9"/>
  <c r="I312" i="9"/>
  <c r="H312" i="9"/>
  <c r="G312" i="9"/>
  <c r="F312" i="9"/>
  <c r="E312" i="9"/>
  <c r="D312" i="9"/>
  <c r="C311" i="9"/>
  <c r="C310" i="9"/>
  <c r="M281" i="9"/>
  <c r="L281" i="9"/>
  <c r="K281" i="9"/>
  <c r="J281" i="9"/>
  <c r="I281" i="9"/>
  <c r="H281" i="9"/>
  <c r="G281" i="9"/>
  <c r="F281" i="9"/>
  <c r="E281" i="9"/>
  <c r="D281" i="9"/>
  <c r="C279" i="9"/>
  <c r="C278" i="9"/>
  <c r="C277" i="9"/>
  <c r="C276" i="9"/>
  <c r="C275" i="9"/>
  <c r="C274" i="9"/>
  <c r="M271" i="9"/>
  <c r="L271" i="9"/>
  <c r="K271" i="9"/>
  <c r="J271" i="9"/>
  <c r="I271" i="9"/>
  <c r="H271" i="9"/>
  <c r="G271" i="9"/>
  <c r="F271" i="9"/>
  <c r="E271" i="9"/>
  <c r="D271" i="9"/>
  <c r="C270" i="9"/>
  <c r="C269" i="9"/>
  <c r="M264" i="9"/>
  <c r="L264" i="9"/>
  <c r="K264" i="9"/>
  <c r="J264" i="9"/>
  <c r="I264" i="9"/>
  <c r="H264" i="9"/>
  <c r="G264" i="9"/>
  <c r="F264" i="9"/>
  <c r="E264" i="9"/>
  <c r="D264" i="9"/>
  <c r="C263" i="9"/>
  <c r="C262" i="9"/>
  <c r="C261" i="9"/>
  <c r="C260" i="9"/>
  <c r="M257" i="9"/>
  <c r="L257" i="9"/>
  <c r="K257" i="9"/>
  <c r="J257" i="9"/>
  <c r="I257" i="9"/>
  <c r="H257" i="9"/>
  <c r="G257" i="9"/>
  <c r="F257" i="9"/>
  <c r="E257" i="9"/>
  <c r="D257" i="9"/>
  <c r="C256" i="9"/>
  <c r="C255" i="9"/>
  <c r="M234" i="9"/>
  <c r="L234" i="9"/>
  <c r="K234" i="9"/>
  <c r="J234" i="9"/>
  <c r="I234" i="9"/>
  <c r="H234" i="9"/>
  <c r="G234" i="9"/>
  <c r="F234" i="9"/>
  <c r="E234" i="9"/>
  <c r="D234" i="9"/>
  <c r="C232" i="9"/>
  <c r="C231" i="9"/>
  <c r="C230" i="9"/>
  <c r="C229" i="9"/>
  <c r="C228" i="9"/>
  <c r="C227" i="9"/>
  <c r="M224" i="9"/>
  <c r="L224" i="9"/>
  <c r="K224" i="9"/>
  <c r="J224" i="9"/>
  <c r="I224" i="9"/>
  <c r="H224" i="9"/>
  <c r="G224" i="9"/>
  <c r="F224" i="9"/>
  <c r="E224" i="9"/>
  <c r="D224" i="9"/>
  <c r="C223" i="9"/>
  <c r="C222" i="9"/>
  <c r="M217" i="9"/>
  <c r="L217" i="9"/>
  <c r="K217" i="9"/>
  <c r="J217" i="9"/>
  <c r="I217" i="9"/>
  <c r="H217" i="9"/>
  <c r="G217" i="9"/>
  <c r="F217" i="9"/>
  <c r="E217" i="9"/>
  <c r="D217" i="9"/>
  <c r="C216" i="9"/>
  <c r="C215" i="9"/>
  <c r="C214" i="9"/>
  <c r="C213" i="9"/>
  <c r="M210" i="9"/>
  <c r="L210" i="9"/>
  <c r="K210" i="9"/>
  <c r="J210" i="9"/>
  <c r="I210" i="9"/>
  <c r="H210" i="9"/>
  <c r="G210" i="9"/>
  <c r="F210" i="9"/>
  <c r="E210" i="9"/>
  <c r="D210" i="9"/>
  <c r="C209" i="9"/>
  <c r="C208" i="9"/>
  <c r="M195" i="9"/>
  <c r="L195" i="9"/>
  <c r="K195" i="9"/>
  <c r="J195" i="9"/>
  <c r="I195" i="9"/>
  <c r="H195" i="9"/>
  <c r="G195" i="9"/>
  <c r="F195" i="9"/>
  <c r="E195" i="9"/>
  <c r="D195" i="9"/>
  <c r="C193" i="9"/>
  <c r="C191" i="9"/>
  <c r="C190" i="9"/>
  <c r="C188" i="9"/>
  <c r="M185" i="9"/>
  <c r="L185" i="9"/>
  <c r="K185" i="9"/>
  <c r="J185" i="9"/>
  <c r="I185" i="9"/>
  <c r="H185" i="9"/>
  <c r="G185" i="9"/>
  <c r="F185" i="9"/>
  <c r="E185" i="9"/>
  <c r="D185" i="9"/>
  <c r="C184" i="9"/>
  <c r="C183" i="9"/>
  <c r="M178" i="9"/>
  <c r="L178" i="9"/>
  <c r="K178" i="9"/>
  <c r="J178" i="9"/>
  <c r="I178" i="9"/>
  <c r="H178" i="9"/>
  <c r="G178" i="9"/>
  <c r="F178" i="9"/>
  <c r="E178" i="9"/>
  <c r="D178" i="9"/>
  <c r="C177" i="9"/>
  <c r="C176" i="9"/>
  <c r="C175" i="9"/>
  <c r="C174" i="9"/>
  <c r="M171" i="9"/>
  <c r="L171" i="9"/>
  <c r="K171" i="9"/>
  <c r="J171" i="9"/>
  <c r="I171" i="9"/>
  <c r="H171" i="9"/>
  <c r="G171" i="9"/>
  <c r="F171" i="9"/>
  <c r="E171" i="9"/>
  <c r="D171" i="9"/>
  <c r="C170" i="9"/>
  <c r="C169" i="9"/>
  <c r="M160" i="9"/>
  <c r="L160" i="9"/>
  <c r="K160" i="9"/>
  <c r="J160" i="9"/>
  <c r="I160" i="9"/>
  <c r="H160" i="9"/>
  <c r="G160" i="9"/>
  <c r="F160" i="9"/>
  <c r="E160" i="9"/>
  <c r="D160" i="9"/>
  <c r="C158" i="9"/>
  <c r="C157" i="9"/>
  <c r="C156" i="9"/>
  <c r="C155" i="9"/>
  <c r="C154" i="9"/>
  <c r="C153" i="9"/>
  <c r="M150" i="9"/>
  <c r="L150" i="9"/>
  <c r="K150" i="9"/>
  <c r="J150" i="9"/>
  <c r="I150" i="9"/>
  <c r="H150" i="9"/>
  <c r="G150" i="9"/>
  <c r="F150" i="9"/>
  <c r="E150" i="9"/>
  <c r="D150" i="9"/>
  <c r="C149" i="9"/>
  <c r="C148" i="9"/>
  <c r="M143" i="9"/>
  <c r="L143" i="9"/>
  <c r="K143" i="9"/>
  <c r="J143" i="9"/>
  <c r="I143" i="9"/>
  <c r="H143" i="9"/>
  <c r="G143" i="9"/>
  <c r="F143" i="9"/>
  <c r="E143" i="9"/>
  <c r="D143" i="9"/>
  <c r="C142" i="9"/>
  <c r="C141" i="9"/>
  <c r="C140" i="9"/>
  <c r="C139" i="9"/>
  <c r="M136" i="9"/>
  <c r="L136" i="9"/>
  <c r="K136" i="9"/>
  <c r="J136" i="9"/>
  <c r="I136" i="9"/>
  <c r="H136" i="9"/>
  <c r="G136" i="9"/>
  <c r="F136" i="9"/>
  <c r="E136" i="9"/>
  <c r="D136" i="9"/>
  <c r="C135" i="9"/>
  <c r="C134" i="9"/>
  <c r="M117" i="9"/>
  <c r="L117" i="9"/>
  <c r="K117" i="9"/>
  <c r="J117" i="9"/>
  <c r="I117" i="9"/>
  <c r="H117" i="9"/>
  <c r="G117" i="9"/>
  <c r="F117" i="9"/>
  <c r="E117" i="9"/>
  <c r="D117" i="9"/>
  <c r="C115" i="9"/>
  <c r="C113" i="9"/>
  <c r="C112" i="9"/>
  <c r="C111" i="9"/>
  <c r="C110" i="9"/>
  <c r="M107" i="9"/>
  <c r="L107" i="9"/>
  <c r="K107" i="9"/>
  <c r="J107" i="9"/>
  <c r="I107" i="9"/>
  <c r="H107" i="9"/>
  <c r="G107" i="9"/>
  <c r="F107" i="9"/>
  <c r="E107" i="9"/>
  <c r="D107" i="9"/>
  <c r="C106" i="9"/>
  <c r="C105" i="9"/>
  <c r="M100" i="9"/>
  <c r="L100" i="9"/>
  <c r="K100" i="9"/>
  <c r="J100" i="9"/>
  <c r="I100" i="9"/>
  <c r="H100" i="9"/>
  <c r="G100" i="9"/>
  <c r="F100" i="9"/>
  <c r="E100" i="9"/>
  <c r="D100" i="9"/>
  <c r="C99" i="9"/>
  <c r="C100" i="9" s="1"/>
  <c r="M93" i="9"/>
  <c r="L93" i="9"/>
  <c r="K93" i="9"/>
  <c r="J93" i="9"/>
  <c r="I93" i="9"/>
  <c r="H93" i="9"/>
  <c r="G93" i="9"/>
  <c r="F93" i="9"/>
  <c r="E93" i="9"/>
  <c r="D93" i="9"/>
  <c r="C92" i="9"/>
  <c r="C91" i="9"/>
  <c r="E85" i="9"/>
  <c r="M74" i="9"/>
  <c r="L74" i="9"/>
  <c r="K74" i="9"/>
  <c r="J74" i="9"/>
  <c r="I74" i="9"/>
  <c r="H74" i="9"/>
  <c r="G74" i="9"/>
  <c r="F74" i="9"/>
  <c r="E74" i="9"/>
  <c r="D74" i="9"/>
  <c r="C72" i="9"/>
  <c r="C71" i="9"/>
  <c r="C70" i="9"/>
  <c r="C69" i="9"/>
  <c r="C68" i="9"/>
  <c r="C67" i="9"/>
  <c r="M64" i="9"/>
  <c r="L64" i="9"/>
  <c r="K64" i="9"/>
  <c r="J64" i="9"/>
  <c r="I64" i="9"/>
  <c r="H64" i="9"/>
  <c r="G64" i="9"/>
  <c r="F64" i="9"/>
  <c r="E64" i="9"/>
  <c r="D64" i="9"/>
  <c r="C63" i="9"/>
  <c r="C62" i="9"/>
  <c r="M57" i="9"/>
  <c r="L57" i="9"/>
  <c r="K57" i="9"/>
  <c r="J57" i="9"/>
  <c r="I57" i="9"/>
  <c r="H57" i="9"/>
  <c r="G57" i="9"/>
  <c r="F57" i="9"/>
  <c r="E57" i="9"/>
  <c r="D57" i="9"/>
  <c r="C56" i="9"/>
  <c r="C55" i="9"/>
  <c r="M52" i="9"/>
  <c r="L52" i="9"/>
  <c r="K52" i="9"/>
  <c r="J52" i="9"/>
  <c r="I52" i="9"/>
  <c r="H52" i="9"/>
  <c r="G52" i="9"/>
  <c r="F52" i="9"/>
  <c r="E52" i="9"/>
  <c r="D52" i="9"/>
  <c r="C51" i="9"/>
  <c r="C50" i="9"/>
  <c r="C83" i="4"/>
  <c r="D83" i="4"/>
  <c r="E83" i="4"/>
  <c r="C92" i="4"/>
  <c r="D92" i="4"/>
  <c r="D93" i="4" s="1"/>
  <c r="E92" i="4"/>
  <c r="F98" i="5" a="1"/>
  <c r="F98" i="5" s="1"/>
  <c r="G98" i="5" a="1"/>
  <c r="G98" i="5" s="1"/>
  <c r="H98" i="5" a="1"/>
  <c r="H98" i="5" s="1"/>
  <c r="I98" i="5" a="1"/>
  <c r="I98" i="5" s="1"/>
  <c r="J98" i="5" a="1"/>
  <c r="J98" i="5" s="1"/>
  <c r="K98" i="5" a="1"/>
  <c r="K98" i="5" s="1"/>
  <c r="L98" i="5" a="1"/>
  <c r="L98" i="5" s="1"/>
  <c r="M98" i="5" a="1"/>
  <c r="M98" i="5" s="1"/>
  <c r="N98" i="5" a="1"/>
  <c r="N98" i="5"/>
  <c r="B64" i="8"/>
  <c r="B61" i="8"/>
  <c r="C59" i="8" s="1"/>
  <c r="F69" i="5"/>
  <c r="C57" i="6"/>
  <c r="A52" i="6"/>
  <c r="A53" i="6" s="1"/>
  <c r="A54" i="6" s="1"/>
  <c r="A55" i="6" s="1"/>
  <c r="A56" i="6" s="1"/>
  <c r="A57" i="6" s="1"/>
  <c r="A58" i="6" s="1"/>
  <c r="A59" i="6" s="1"/>
  <c r="A60" i="6" s="1"/>
  <c r="A64" i="6" s="1"/>
  <c r="A65" i="6" s="1"/>
  <c r="A66" i="6" s="1"/>
  <c r="A67" i="6" s="1"/>
  <c r="A68" i="6" s="1"/>
  <c r="A69" i="6" s="1"/>
  <c r="A70" i="6" s="1"/>
  <c r="C46" i="6"/>
  <c r="C47" i="6" s="1"/>
  <c r="C32" i="6"/>
  <c r="C22" i="6"/>
  <c r="C23" i="6" s="1"/>
  <c r="O105" i="5"/>
  <c r="B82" i="5"/>
  <c r="B81" i="5"/>
  <c r="B80" i="5"/>
  <c r="B79" i="5"/>
  <c r="B72" i="5"/>
  <c r="N69" i="5"/>
  <c r="M69" i="5"/>
  <c r="L69" i="5"/>
  <c r="K69" i="5"/>
  <c r="J69" i="5"/>
  <c r="I69" i="5"/>
  <c r="H69" i="5"/>
  <c r="G69" i="5"/>
  <c r="E69" i="5"/>
  <c r="D69" i="5"/>
  <c r="C69" i="5"/>
  <c r="F62" i="5"/>
  <c r="E62" i="5"/>
  <c r="D62" i="5"/>
  <c r="C62" i="5"/>
  <c r="O61" i="5"/>
  <c r="O60" i="5"/>
  <c r="O59" i="5"/>
  <c r="O58" i="5"/>
  <c r="O57" i="5"/>
  <c r="F56" i="5"/>
  <c r="F63" i="5" s="1"/>
  <c r="E56" i="5"/>
  <c r="D56" i="5"/>
  <c r="D63" i="5" s="1"/>
  <c r="C56" i="5"/>
  <c r="C63" i="5" s="1"/>
  <c r="F53" i="5"/>
  <c r="E53" i="5"/>
  <c r="D53" i="5"/>
  <c r="C53" i="5"/>
  <c r="B44" i="5"/>
  <c r="H38" i="5"/>
  <c r="H41" i="5" s="1"/>
  <c r="F38" i="5"/>
  <c r="B38" i="5"/>
  <c r="B37" i="5"/>
  <c r="C70" i="5" s="1" a="1"/>
  <c r="C70" i="5" s="1"/>
  <c r="D36" i="5"/>
  <c r="C41" i="3"/>
  <c r="C39" i="3"/>
  <c r="C40" i="3" s="1"/>
  <c r="C37" i="3"/>
  <c r="C43" i="3" s="1"/>
  <c r="A30" i="3"/>
  <c r="A31" i="3" s="1"/>
  <c r="A32" i="3" s="1"/>
  <c r="A33" i="3" s="1"/>
  <c r="A34" i="3" s="1"/>
  <c r="A35" i="3" s="1"/>
  <c r="A36" i="3" s="1"/>
  <c r="A37" i="3" s="1"/>
  <c r="A38" i="3" s="1"/>
  <c r="A39" i="3" s="1"/>
  <c r="A40" i="3" s="1"/>
  <c r="A41" i="3" s="1"/>
  <c r="A42" i="3" s="1"/>
  <c r="A43" i="3" s="1"/>
  <c r="A44" i="3" s="1"/>
  <c r="A45" i="3" s="1"/>
  <c r="B26" i="3"/>
  <c r="W26" i="12" l="1"/>
  <c r="W28" i="12" s="1"/>
  <c r="W29" i="12" s="1"/>
  <c r="W33" i="12" s="1"/>
  <c r="W35" i="12" s="1"/>
  <c r="W36" i="12" s="1"/>
  <c r="B78" i="5"/>
  <c r="O62" i="5"/>
  <c r="E63" i="5"/>
  <c r="B62" i="8"/>
  <c r="B63" i="8" s="1"/>
  <c r="B65" i="8" s="1"/>
  <c r="B67" i="8" s="1"/>
  <c r="C61" i="8"/>
  <c r="D59" i="8" s="1"/>
  <c r="V26" i="12"/>
  <c r="V27" i="12" s="1"/>
  <c r="V28" i="12"/>
  <c r="V29" i="12" s="1"/>
  <c r="V33" i="12" s="1"/>
  <c r="V35" i="12" s="1"/>
  <c r="V36" i="12" s="1"/>
  <c r="W27" i="12"/>
  <c r="Y21" i="12"/>
  <c r="X23" i="12"/>
  <c r="X24" i="12" s="1"/>
  <c r="X22" i="12"/>
  <c r="X31" i="12" s="1"/>
  <c r="X25" i="12"/>
  <c r="J30" i="10"/>
  <c r="L30" i="10"/>
  <c r="M30" i="10"/>
  <c r="N30" i="10"/>
  <c r="K30" i="10"/>
  <c r="K27" i="10"/>
  <c r="J27" i="10"/>
  <c r="K28" i="10"/>
  <c r="J28" i="10"/>
  <c r="L28" i="10"/>
  <c r="M28" i="10"/>
  <c r="N28" i="10"/>
  <c r="N27" i="10"/>
  <c r="K51" i="10"/>
  <c r="E21" i="12"/>
  <c r="J47" i="10"/>
  <c r="J49" i="10" s="1"/>
  <c r="J51" i="10" s="1"/>
  <c r="M51" i="10"/>
  <c r="L51" i="10"/>
  <c r="N37" i="10"/>
  <c r="N51" i="10"/>
  <c r="I49" i="10"/>
  <c r="I51" i="10" s="1"/>
  <c r="L27" i="10"/>
  <c r="I37" i="10"/>
  <c r="I38" i="10" s="1"/>
  <c r="M27" i="10"/>
  <c r="J37" i="10"/>
  <c r="K37" i="10"/>
  <c r="L37" i="10"/>
  <c r="C312" i="9"/>
  <c r="H180" i="9"/>
  <c r="D219" i="9"/>
  <c r="D236" i="9" s="1"/>
  <c r="D237" i="9" s="1"/>
  <c r="L219" i="9"/>
  <c r="F266" i="9"/>
  <c r="F283" i="9" s="1"/>
  <c r="F284" i="9" s="1"/>
  <c r="H321" i="9"/>
  <c r="C52" i="9"/>
  <c r="C64" i="9"/>
  <c r="H145" i="9"/>
  <c r="H162" i="9" s="1"/>
  <c r="J145" i="9"/>
  <c r="J162" i="9" s="1"/>
  <c r="H219" i="9"/>
  <c r="H236" i="9" s="1"/>
  <c r="J219" i="9"/>
  <c r="J236" i="9" s="1"/>
  <c r="L266" i="9"/>
  <c r="L283" i="9" s="1"/>
  <c r="L284" i="9" s="1"/>
  <c r="J59" i="9"/>
  <c r="J76" i="9" s="1"/>
  <c r="C178" i="9"/>
  <c r="C264" i="9"/>
  <c r="F102" i="9"/>
  <c r="F119" i="9" s="1"/>
  <c r="I145" i="9"/>
  <c r="I162" i="9" s="1"/>
  <c r="C160" i="9"/>
  <c r="I219" i="9"/>
  <c r="I236" i="9" s="1"/>
  <c r="D102" i="9"/>
  <c r="D119" i="9" s="1"/>
  <c r="D120" i="9" s="1"/>
  <c r="C136" i="9"/>
  <c r="K219" i="9"/>
  <c r="K236" i="9" s="1"/>
  <c r="G59" i="9"/>
  <c r="G76" i="9" s="1"/>
  <c r="F145" i="9"/>
  <c r="F162" i="9" s="1"/>
  <c r="C143" i="9"/>
  <c r="C224" i="9"/>
  <c r="K102" i="9"/>
  <c r="K119" i="9" s="1"/>
  <c r="L102" i="9"/>
  <c r="L119" i="9" s="1"/>
  <c r="K145" i="9"/>
  <c r="K162" i="9" s="1"/>
  <c r="E145" i="9"/>
  <c r="E162" i="9" s="1"/>
  <c r="M145" i="9"/>
  <c r="M162" i="9" s="1"/>
  <c r="F180" i="9"/>
  <c r="F197" i="9" s="1"/>
  <c r="C257" i="9"/>
  <c r="D266" i="9"/>
  <c r="D283" i="9" s="1"/>
  <c r="D284" i="9" s="1"/>
  <c r="C57" i="9"/>
  <c r="E102" i="9"/>
  <c r="E119" i="9" s="1"/>
  <c r="K266" i="9"/>
  <c r="K283" i="9" s="1"/>
  <c r="K284" i="9" s="1"/>
  <c r="D321" i="9"/>
  <c r="D338" i="9" s="1"/>
  <c r="D339" i="9" s="1"/>
  <c r="L321" i="9"/>
  <c r="L338" i="9" s="1"/>
  <c r="K59" i="9"/>
  <c r="K76" i="9" s="1"/>
  <c r="C74" i="9"/>
  <c r="I102" i="9"/>
  <c r="I119" i="9" s="1"/>
  <c r="G321" i="9"/>
  <c r="G338" i="9" s="1"/>
  <c r="G339" i="9" s="1"/>
  <c r="D59" i="9"/>
  <c r="D76" i="9" s="1"/>
  <c r="D77" i="9" s="1"/>
  <c r="L59" i="9"/>
  <c r="L76" i="9" s="1"/>
  <c r="C93" i="9"/>
  <c r="C102" i="9" s="1"/>
  <c r="E86" i="9" s="1"/>
  <c r="E87" i="9" s="1"/>
  <c r="J102" i="9"/>
  <c r="J119" i="9" s="1"/>
  <c r="G102" i="9"/>
  <c r="G119" i="9" s="1"/>
  <c r="E266" i="9"/>
  <c r="E283" i="9" s="1"/>
  <c r="E284" i="9" s="1"/>
  <c r="M266" i="9"/>
  <c r="M283" i="9" s="1"/>
  <c r="M284" i="9" s="1"/>
  <c r="G266" i="9"/>
  <c r="G283" i="9" s="1"/>
  <c r="G284" i="9" s="1"/>
  <c r="C271" i="9"/>
  <c r="J180" i="9"/>
  <c r="J197" i="9" s="1"/>
  <c r="H266" i="9"/>
  <c r="H283" i="9" s="1"/>
  <c r="H284" i="9" s="1"/>
  <c r="I59" i="9"/>
  <c r="I76" i="9" s="1"/>
  <c r="K180" i="9"/>
  <c r="K197" i="9" s="1"/>
  <c r="C195" i="9"/>
  <c r="F219" i="9"/>
  <c r="F236" i="9" s="1"/>
  <c r="C336" i="9"/>
  <c r="M102" i="9"/>
  <c r="M119" i="9" s="1"/>
  <c r="C117" i="9"/>
  <c r="D145" i="9"/>
  <c r="D162" i="9" s="1"/>
  <c r="D163" i="9" s="1"/>
  <c r="L145" i="9"/>
  <c r="L162" i="9" s="1"/>
  <c r="C171" i="9"/>
  <c r="D180" i="9"/>
  <c r="D197" i="9" s="1"/>
  <c r="D198" i="9" s="1"/>
  <c r="L180" i="9"/>
  <c r="L197" i="9" s="1"/>
  <c r="E219" i="9"/>
  <c r="E236" i="9" s="1"/>
  <c r="M219" i="9"/>
  <c r="M236" i="9" s="1"/>
  <c r="G219" i="9"/>
  <c r="G236" i="9" s="1"/>
  <c r="K321" i="9"/>
  <c r="K338" i="9" s="1"/>
  <c r="E321" i="9"/>
  <c r="E338" i="9" s="1"/>
  <c r="M321" i="9"/>
  <c r="M338" i="9" s="1"/>
  <c r="C217" i="9"/>
  <c r="F59" i="9"/>
  <c r="F76" i="9" s="1"/>
  <c r="H102" i="9"/>
  <c r="H119" i="9" s="1"/>
  <c r="G145" i="9"/>
  <c r="G162" i="9" s="1"/>
  <c r="C150" i="9"/>
  <c r="E180" i="9"/>
  <c r="E197" i="9" s="1"/>
  <c r="M180" i="9"/>
  <c r="M197" i="9" s="1"/>
  <c r="G180" i="9"/>
  <c r="G197" i="9" s="1"/>
  <c r="C185" i="9"/>
  <c r="I266" i="9"/>
  <c r="I283" i="9" s="1"/>
  <c r="I284" i="9" s="1"/>
  <c r="F321" i="9"/>
  <c r="F338" i="9" s="1"/>
  <c r="F339" i="9" s="1"/>
  <c r="C319" i="9"/>
  <c r="C321" i="9" s="1"/>
  <c r="C326" i="9"/>
  <c r="H338" i="9"/>
  <c r="H339" i="9" s="1"/>
  <c r="I321" i="9"/>
  <c r="I338" i="9" s="1"/>
  <c r="I339" i="9" s="1"/>
  <c r="J266" i="9"/>
  <c r="J283" i="9" s="1"/>
  <c r="J284" i="9" s="1"/>
  <c r="E59" i="9"/>
  <c r="E76" i="9" s="1"/>
  <c r="M59" i="9"/>
  <c r="M76" i="9" s="1"/>
  <c r="H59" i="9"/>
  <c r="H76" i="9" s="1"/>
  <c r="C107" i="9"/>
  <c r="I180" i="9"/>
  <c r="I197" i="9" s="1"/>
  <c r="C210" i="9"/>
  <c r="C234" i="9"/>
  <c r="J321" i="9"/>
  <c r="J338" i="9" s="1"/>
  <c r="H197" i="9"/>
  <c r="C281" i="9"/>
  <c r="L236" i="9"/>
  <c r="E93" i="4"/>
  <c r="C93" i="4"/>
  <c r="C42" i="3"/>
  <c r="K106" i="5" a="1"/>
  <c r="K106" i="5" s="1"/>
  <c r="K107" i="5" s="1" a="1"/>
  <c r="K107" i="5" s="1"/>
  <c r="G106" i="5" a="1"/>
  <c r="G106" i="5" s="1"/>
  <c r="G107" i="5" s="1" a="1"/>
  <c r="G107" i="5" s="1"/>
  <c r="N106" i="5" a="1"/>
  <c r="N106" i="5" s="1"/>
  <c r="N107" i="5" s="1" a="1"/>
  <c r="N107" i="5" s="1"/>
  <c r="J106" i="5" a="1"/>
  <c r="J106" i="5" s="1"/>
  <c r="J107" i="5" s="1" a="1"/>
  <c r="J107" i="5" s="1"/>
  <c r="F106" i="5" a="1"/>
  <c r="F106" i="5" s="1"/>
  <c r="F107" i="5" s="1" a="1"/>
  <c r="F107" i="5" s="1"/>
  <c r="M106" i="5" a="1"/>
  <c r="M106" i="5" s="1"/>
  <c r="M107" i="5" s="1" a="1"/>
  <c r="M107" i="5" s="1"/>
  <c r="I106" i="5" a="1"/>
  <c r="I106" i="5" s="1"/>
  <c r="I107" i="5" s="1" a="1"/>
  <c r="I107" i="5" s="1"/>
  <c r="E106" i="5" a="1"/>
  <c r="E106" i="5" s="1"/>
  <c r="E107" i="5" s="1" a="1"/>
  <c r="E107" i="5" s="1"/>
  <c r="L106" i="5" a="1"/>
  <c r="L106" i="5" s="1"/>
  <c r="L107" i="5" s="1" a="1"/>
  <c r="L107" i="5" s="1"/>
  <c r="H106" i="5" a="1"/>
  <c r="H106" i="5" s="1"/>
  <c r="H107" i="5" s="1" a="1"/>
  <c r="H107" i="5" s="1"/>
  <c r="D106" i="5" a="1"/>
  <c r="D106" i="5" s="1"/>
  <c r="D107" i="5" s="1" a="1"/>
  <c r="D107" i="5" s="1"/>
  <c r="C106" i="5" a="1"/>
  <c r="C106" i="5" s="1"/>
  <c r="C107" i="5" s="1" a="1"/>
  <c r="C107" i="5" s="1"/>
  <c r="L99" i="5" a="1"/>
  <c r="L99" i="5" s="1"/>
  <c r="L100" i="5" s="1" a="1"/>
  <c r="L100" i="5" s="1"/>
  <c r="H99" i="5" a="1"/>
  <c r="H99" i="5" s="1"/>
  <c r="H100" i="5" s="1" a="1"/>
  <c r="H100" i="5" s="1"/>
  <c r="D99" i="5" a="1"/>
  <c r="D99" i="5" s="1"/>
  <c r="K99" i="5" a="1"/>
  <c r="K99" i="5" s="1"/>
  <c r="K100" i="5" s="1" a="1"/>
  <c r="K100" i="5" s="1"/>
  <c r="G99" i="5" a="1"/>
  <c r="G99" i="5" s="1"/>
  <c r="G100" i="5" s="1" a="1"/>
  <c r="G100" i="5" s="1"/>
  <c r="N99" i="5" a="1"/>
  <c r="N99" i="5" s="1"/>
  <c r="N100" i="5" s="1" a="1"/>
  <c r="N100" i="5" s="1"/>
  <c r="J99" i="5" a="1"/>
  <c r="J99" i="5" s="1"/>
  <c r="J100" i="5" s="1" a="1"/>
  <c r="J100" i="5" s="1"/>
  <c r="F99" i="5" a="1"/>
  <c r="F99" i="5" s="1"/>
  <c r="F100" i="5" s="1" a="1"/>
  <c r="F100" i="5" s="1"/>
  <c r="M99" i="5" a="1"/>
  <c r="M99" i="5" s="1"/>
  <c r="M100" i="5" s="1" a="1"/>
  <c r="M100" i="5" s="1"/>
  <c r="I99" i="5" a="1"/>
  <c r="I99" i="5" s="1"/>
  <c r="I100" i="5" s="1" a="1"/>
  <c r="I100" i="5" s="1"/>
  <c r="E99" i="5" a="1"/>
  <c r="E99" i="5" s="1"/>
  <c r="C99" i="5" a="1"/>
  <c r="C99" i="5" s="1"/>
  <c r="C97" i="5" a="1"/>
  <c r="C97" i="5" s="1"/>
  <c r="C98" i="5" s="1" a="1"/>
  <c r="C98" i="5" s="1"/>
  <c r="D97" i="5" a="1"/>
  <c r="D97" i="5" s="1"/>
  <c r="D98" i="5" s="1" a="1"/>
  <c r="D98" i="5" s="1"/>
  <c r="E97" i="5" a="1"/>
  <c r="E97" i="5" s="1"/>
  <c r="E98" i="5" s="1" a="1"/>
  <c r="E98" i="5" s="1"/>
  <c r="C29" i="6"/>
  <c r="C30" i="6" s="1"/>
  <c r="C31" i="6" s="1"/>
  <c r="C33" i="6" s="1"/>
  <c r="C56" i="6" s="1"/>
  <c r="C39" i="6"/>
  <c r="C65" i="6"/>
  <c r="N70" i="5" a="1"/>
  <c r="N70" i="5" s="1"/>
  <c r="L70" i="5" a="1"/>
  <c r="L70" i="5" s="1"/>
  <c r="D70" i="5" a="1"/>
  <c r="D70" i="5" s="1"/>
  <c r="H70" i="5" a="1"/>
  <c r="H70" i="5" s="1"/>
  <c r="K70" i="5" a="1"/>
  <c r="K70" i="5" s="1"/>
  <c r="G70" i="5" a="1"/>
  <c r="G70" i="5" s="1"/>
  <c r="J70" i="5" a="1"/>
  <c r="J70" i="5" s="1"/>
  <c r="F70" i="5" a="1"/>
  <c r="F70" i="5" s="1"/>
  <c r="M70" i="5" a="1"/>
  <c r="M70" i="5" s="1"/>
  <c r="I70" i="5" a="1"/>
  <c r="I70" i="5" s="1"/>
  <c r="E70" i="5" a="1"/>
  <c r="E70" i="5" s="1"/>
  <c r="C64" i="5"/>
  <c r="O63" i="5"/>
  <c r="C44" i="3"/>
  <c r="C45" i="3" s="1"/>
  <c r="B39" i="5"/>
  <c r="B45" i="5"/>
  <c r="B46" i="5" s="1"/>
  <c r="B40" i="5"/>
  <c r="B43" i="5" s="1"/>
  <c r="B47" i="5"/>
  <c r="F41" i="5"/>
  <c r="O51" i="5"/>
  <c r="C64" i="6"/>
  <c r="O56" i="5"/>
  <c r="C58" i="6"/>
  <c r="B41" i="5"/>
  <c r="C62" i="8" l="1"/>
  <c r="C63" i="8" s="1"/>
  <c r="C65" i="8" s="1"/>
  <c r="C67" i="8" s="1"/>
  <c r="D61" i="8"/>
  <c r="D62" i="8"/>
  <c r="D63" i="8" s="1"/>
  <c r="D65" i="8" s="1"/>
  <c r="D67" i="8" s="1"/>
  <c r="B68" i="8" s="1"/>
  <c r="X26" i="12"/>
  <c r="X27" i="12" s="1"/>
  <c r="Z21" i="12"/>
  <c r="Y23" i="12"/>
  <c r="Y24" i="12" s="1"/>
  <c r="Y25" i="12"/>
  <c r="Y22" i="12"/>
  <c r="Y31" i="12" s="1"/>
  <c r="M26" i="10"/>
  <c r="M36" i="10" s="1"/>
  <c r="M38" i="10" s="1"/>
  <c r="M53" i="10" s="1"/>
  <c r="J26" i="10"/>
  <c r="J36" i="10" s="1"/>
  <c r="J38" i="10" s="1"/>
  <c r="J53" i="10" s="1"/>
  <c r="L26" i="10"/>
  <c r="L36" i="10" s="1"/>
  <c r="L38" i="10" s="1"/>
  <c r="L53" i="10" s="1"/>
  <c r="F21" i="12"/>
  <c r="I53" i="10"/>
  <c r="K26" i="10"/>
  <c r="K36" i="10" s="1"/>
  <c r="K38" i="10" s="1"/>
  <c r="K53" i="10" s="1"/>
  <c r="N26" i="10"/>
  <c r="N36" i="10" s="1"/>
  <c r="N38" i="10" s="1"/>
  <c r="N53" i="10" s="1"/>
  <c r="C266" i="9"/>
  <c r="C59" i="9"/>
  <c r="C219" i="9"/>
  <c r="D203" i="9" s="1"/>
  <c r="C180" i="9"/>
  <c r="C145" i="9"/>
  <c r="F306" i="9"/>
  <c r="D340" i="9" s="1"/>
  <c r="I306" i="9" s="1" a="1"/>
  <c r="I306" i="9" s="1"/>
  <c r="E120" i="9"/>
  <c r="F120" i="9" s="1"/>
  <c r="G120" i="9" s="1"/>
  <c r="H120" i="9" s="1"/>
  <c r="I120" i="9" s="1"/>
  <c r="J120" i="9" s="1"/>
  <c r="K120" i="9" s="1"/>
  <c r="L120" i="9" s="1"/>
  <c r="M120" i="9" s="1"/>
  <c r="E163" i="9"/>
  <c r="F163" i="9" s="1"/>
  <c r="E77" i="9"/>
  <c r="F77" i="9" s="1"/>
  <c r="G77" i="9" s="1"/>
  <c r="H77" i="9" s="1"/>
  <c r="I77" i="9" s="1"/>
  <c r="J77" i="9" s="1"/>
  <c r="K77" i="9" s="1"/>
  <c r="L77" i="9" s="1"/>
  <c r="M77" i="9" s="1"/>
  <c r="E339" i="9"/>
  <c r="E237" i="9"/>
  <c r="F248" i="9"/>
  <c r="I248" i="9" a="1"/>
  <c r="I248" i="9" s="1"/>
  <c r="E198" i="9"/>
  <c r="D199" i="9"/>
  <c r="L109" i="5" a="1"/>
  <c r="L109" i="5" s="1"/>
  <c r="H109" i="5" a="1"/>
  <c r="H109" i="5" s="1"/>
  <c r="E109" i="5" a="1"/>
  <c r="E109" i="5" s="1"/>
  <c r="N109" i="5" a="1"/>
  <c r="N109" i="5" s="1"/>
  <c r="G109" i="5" a="1"/>
  <c r="G109" i="5" s="1"/>
  <c r="I109" i="5" a="1"/>
  <c r="I109" i="5" s="1"/>
  <c r="M109" i="5" a="1"/>
  <c r="M109" i="5" s="1"/>
  <c r="K109" i="5" a="1"/>
  <c r="K109" i="5" s="1"/>
  <c r="F109" i="5" a="1"/>
  <c r="F109" i="5" s="1"/>
  <c r="D109" i="5" a="1"/>
  <c r="D109" i="5" s="1"/>
  <c r="J109" i="5" a="1"/>
  <c r="J109" i="5" s="1"/>
  <c r="F108" i="5" a="1"/>
  <c r="F108" i="5" s="1"/>
  <c r="J108" i="5" a="1"/>
  <c r="J108" i="5" s="1"/>
  <c r="N108" i="5" a="1"/>
  <c r="N108" i="5" s="1"/>
  <c r="K108" i="5" a="1"/>
  <c r="K108" i="5" s="1"/>
  <c r="D108" i="5" a="1"/>
  <c r="D108" i="5" s="1"/>
  <c r="L108" i="5" a="1"/>
  <c r="L108" i="5" s="1"/>
  <c r="C109" i="5" a="1"/>
  <c r="C109" i="5" s="1"/>
  <c r="H108" i="5" a="1"/>
  <c r="H108" i="5" s="1"/>
  <c r="E108" i="5" a="1"/>
  <c r="E108" i="5" s="1"/>
  <c r="I108" i="5" a="1"/>
  <c r="I108" i="5" s="1"/>
  <c r="M108" i="5" a="1"/>
  <c r="M108" i="5" s="1"/>
  <c r="G108" i="5" a="1"/>
  <c r="G108" i="5" s="1"/>
  <c r="C108" i="5" a="1"/>
  <c r="C108" i="5" s="1"/>
  <c r="D100" i="5" a="1"/>
  <c r="D100" i="5" s="1"/>
  <c r="C100" i="5" a="1"/>
  <c r="C100" i="5" s="1"/>
  <c r="E100" i="5" a="1"/>
  <c r="E100" i="5" s="1"/>
  <c r="C66" i="6"/>
  <c r="C40" i="6"/>
  <c r="C68" i="6"/>
  <c r="O106" i="5"/>
  <c r="O99" i="5"/>
  <c r="O98" i="5"/>
  <c r="O97" i="5"/>
  <c r="O70" i="5"/>
  <c r="B42" i="5"/>
  <c r="C65" i="5"/>
  <c r="O64" i="5"/>
  <c r="Y26" i="12" l="1"/>
  <c r="Y28" i="12" s="1"/>
  <c r="Y29" i="12" s="1"/>
  <c r="Y33" i="12" s="1"/>
  <c r="Y35" i="12" s="1"/>
  <c r="Y36" i="12" s="1"/>
  <c r="X28" i="12"/>
  <c r="X29" i="12" s="1"/>
  <c r="X33" i="12" s="1"/>
  <c r="X35" i="12" s="1"/>
  <c r="X36" i="12" s="1"/>
  <c r="AA21" i="12"/>
  <c r="Z23" i="12"/>
  <c r="Z25" i="12"/>
  <c r="Z22" i="12"/>
  <c r="Z31" i="12" s="1"/>
  <c r="Z24" i="12"/>
  <c r="G21" i="12"/>
  <c r="I57" i="10"/>
  <c r="M22" i="10" s="1"/>
  <c r="I55" i="10"/>
  <c r="M20" i="10" s="1"/>
  <c r="I56" i="10"/>
  <c r="M21" i="10" s="1"/>
  <c r="E164" i="9"/>
  <c r="F237" i="9"/>
  <c r="G163" i="9"/>
  <c r="F164" i="9"/>
  <c r="E199" i="9"/>
  <c r="F198" i="9"/>
  <c r="C59" i="6"/>
  <c r="C60" i="6" s="1"/>
  <c r="C67" i="6"/>
  <c r="O109" i="5"/>
  <c r="O100" i="5"/>
  <c r="O108" i="5"/>
  <c r="O65" i="5"/>
  <c r="C67" i="5"/>
  <c r="C71" i="5" s="1"/>
  <c r="C73" i="5" s="1"/>
  <c r="C68" i="5"/>
  <c r="O68" i="5" s="1"/>
  <c r="C66" i="5"/>
  <c r="O66" i="5" s="1"/>
  <c r="O107" i="5"/>
  <c r="Z26" i="12" l="1"/>
  <c r="Z27" i="12" s="1"/>
  <c r="Y27" i="12"/>
  <c r="AA23" i="12"/>
  <c r="AA24" i="12" s="1"/>
  <c r="AA26" i="12" s="1"/>
  <c r="AA22" i="12"/>
  <c r="AA31" i="12" s="1"/>
  <c r="AB21" i="12"/>
  <c r="AA25" i="12"/>
  <c r="H21" i="12"/>
  <c r="C130" i="9"/>
  <c r="G164" i="9"/>
  <c r="H163" i="9"/>
  <c r="F199" i="9"/>
  <c r="C165" i="9" s="1"/>
  <c r="G198" i="9"/>
  <c r="H198" i="9" s="1"/>
  <c r="I198" i="9" s="1"/>
  <c r="J198" i="9" s="1"/>
  <c r="K198" i="9" s="1"/>
  <c r="L198" i="9" s="1"/>
  <c r="M198" i="9" s="1"/>
  <c r="G237" i="9"/>
  <c r="H237" i="9" s="1"/>
  <c r="I237" i="9" s="1"/>
  <c r="J237" i="9" s="1"/>
  <c r="K237" i="9" s="1"/>
  <c r="L237" i="9" s="1"/>
  <c r="M237" i="9" s="1"/>
  <c r="C70" i="6"/>
  <c r="C69" i="6"/>
  <c r="K71" i="5"/>
  <c r="J71" i="5"/>
  <c r="I71" i="5"/>
  <c r="H71" i="5"/>
  <c r="G71" i="5"/>
  <c r="O67" i="5"/>
  <c r="N71" i="5"/>
  <c r="F71" i="5"/>
  <c r="M71" i="5"/>
  <c r="E71" i="5"/>
  <c r="L71" i="5"/>
  <c r="D71" i="5"/>
  <c r="Z28" i="12" l="1"/>
  <c r="Z29" i="12" s="1"/>
  <c r="Z33" i="12" s="1"/>
  <c r="Z35" i="12" s="1"/>
  <c r="Z36" i="12" s="1"/>
  <c r="AB23" i="12"/>
  <c r="AB25" i="12"/>
  <c r="AB22" i="12"/>
  <c r="AB31" i="12" s="1"/>
  <c r="AB24" i="12"/>
  <c r="AC21" i="12"/>
  <c r="AA28" i="12"/>
  <c r="AA29" i="12" s="1"/>
  <c r="AA33" i="12" s="1"/>
  <c r="AA35" i="12" s="1"/>
  <c r="AA36" i="12" s="1"/>
  <c r="AA27" i="12"/>
  <c r="I21" i="12"/>
  <c r="H164" i="9"/>
  <c r="I163" i="9"/>
  <c r="N76" i="5"/>
  <c r="N74" i="5"/>
  <c r="N77" i="5"/>
  <c r="N75" i="5"/>
  <c r="N73" i="5"/>
  <c r="G74" i="5"/>
  <c r="G77" i="5"/>
  <c r="G80" i="5" s="1"/>
  <c r="G75" i="5"/>
  <c r="G73" i="5"/>
  <c r="G76" i="5"/>
  <c r="D73" i="5"/>
  <c r="D76" i="5"/>
  <c r="D74" i="5"/>
  <c r="D77" i="5"/>
  <c r="D82" i="5" s="1"/>
  <c r="D110" i="5" s="1" a="1"/>
  <c r="D110" i="5" s="1"/>
  <c r="D75" i="5"/>
  <c r="H74" i="5"/>
  <c r="H77" i="5"/>
  <c r="H75" i="5"/>
  <c r="H73" i="5"/>
  <c r="H76" i="5"/>
  <c r="L73" i="5"/>
  <c r="L76" i="5"/>
  <c r="L74" i="5"/>
  <c r="L77" i="5"/>
  <c r="L75" i="5"/>
  <c r="I77" i="5"/>
  <c r="I75" i="5"/>
  <c r="I73" i="5"/>
  <c r="I76" i="5"/>
  <c r="I74" i="5"/>
  <c r="E73" i="5"/>
  <c r="E76" i="5"/>
  <c r="E74" i="5"/>
  <c r="E77" i="5"/>
  <c r="E75" i="5"/>
  <c r="J75" i="5"/>
  <c r="J73" i="5"/>
  <c r="J76" i="5"/>
  <c r="J74" i="5"/>
  <c r="J77" i="5"/>
  <c r="M73" i="5"/>
  <c r="M76" i="5"/>
  <c r="M74" i="5"/>
  <c r="M77" i="5"/>
  <c r="M75" i="5"/>
  <c r="C75" i="5"/>
  <c r="C76" i="5"/>
  <c r="O71" i="5"/>
  <c r="C74" i="5"/>
  <c r="C77" i="5"/>
  <c r="F76" i="5"/>
  <c r="F74" i="5"/>
  <c r="F77" i="5"/>
  <c r="F81" i="5" s="1"/>
  <c r="F101" i="5" s="1" a="1"/>
  <c r="F101" i="5" s="1"/>
  <c r="F102" i="5" s="1" a="1"/>
  <c r="F102" i="5" s="1"/>
  <c r="F75" i="5"/>
  <c r="F73" i="5"/>
  <c r="K75" i="5"/>
  <c r="K73" i="5"/>
  <c r="K76" i="5"/>
  <c r="K74" i="5"/>
  <c r="K77" i="5"/>
  <c r="AB26" i="12" l="1"/>
  <c r="AB27" i="12" s="1"/>
  <c r="AB28" i="12"/>
  <c r="AB29" i="12" s="1"/>
  <c r="AB33" i="12" s="1"/>
  <c r="AB35" i="12" s="1"/>
  <c r="AB36" i="12" s="1"/>
  <c r="AC25" i="12"/>
  <c r="AC22" i="12"/>
  <c r="AC31" i="12" s="1"/>
  <c r="AD21" i="12"/>
  <c r="AC23" i="12"/>
  <c r="AC24" i="12" s="1"/>
  <c r="AC26" i="12" s="1"/>
  <c r="J21" i="12"/>
  <c r="I164" i="9"/>
  <c r="J163" i="9"/>
  <c r="F103" i="5" a="1"/>
  <c r="F103" i="5" s="1"/>
  <c r="F104" i="5" a="1"/>
  <c r="F104" i="5" s="1"/>
  <c r="J81" i="5"/>
  <c r="J82" i="5"/>
  <c r="J110" i="5" s="1" a="1"/>
  <c r="J110" i="5" s="1"/>
  <c r="L81" i="5"/>
  <c r="L82" i="5"/>
  <c r="L110" i="5" s="1" a="1"/>
  <c r="L110" i="5" s="1"/>
  <c r="G81" i="5"/>
  <c r="G82" i="5"/>
  <c r="G110" i="5" s="1" a="1"/>
  <c r="G110" i="5" s="1"/>
  <c r="F82" i="5"/>
  <c r="F110" i="5" s="1" a="1"/>
  <c r="F110" i="5" s="1"/>
  <c r="M81" i="5"/>
  <c r="M82" i="5"/>
  <c r="M110" i="5" s="1" a="1"/>
  <c r="M110" i="5" s="1"/>
  <c r="N81" i="5"/>
  <c r="N82" i="5"/>
  <c r="N110" i="5" s="1" a="1"/>
  <c r="N110" i="5" s="1"/>
  <c r="K81" i="5"/>
  <c r="K82" i="5"/>
  <c r="K110" i="5" s="1" a="1"/>
  <c r="K110" i="5" s="1"/>
  <c r="E81" i="5"/>
  <c r="E82" i="5"/>
  <c r="E110" i="5" s="1" a="1"/>
  <c r="E110" i="5" s="1"/>
  <c r="I81" i="5"/>
  <c r="I82" i="5"/>
  <c r="I110" i="5" s="1" a="1"/>
  <c r="I110" i="5" s="1"/>
  <c r="H81" i="5"/>
  <c r="H82" i="5"/>
  <c r="H110" i="5" s="1" a="1"/>
  <c r="H110" i="5" s="1"/>
  <c r="C81" i="5"/>
  <c r="C101" i="5" s="1" a="1"/>
  <c r="C101" i="5" s="1"/>
  <c r="C102" i="5" s="1" a="1"/>
  <c r="C102" i="5" s="1"/>
  <c r="C82" i="5"/>
  <c r="C110" i="5" s="1" a="1"/>
  <c r="C110" i="5" s="1"/>
  <c r="D80" i="5"/>
  <c r="D94" i="5" s="1"/>
  <c r="D81" i="5"/>
  <c r="J79" i="5"/>
  <c r="J87" i="5" s="1"/>
  <c r="J80" i="5"/>
  <c r="L79" i="5"/>
  <c r="L87" i="5" s="1"/>
  <c r="L80" i="5"/>
  <c r="G79" i="5"/>
  <c r="G87" i="5" s="1"/>
  <c r="K79" i="5"/>
  <c r="K87" i="5" s="1"/>
  <c r="K80" i="5"/>
  <c r="M79" i="5"/>
  <c r="M87" i="5" s="1"/>
  <c r="M80" i="5"/>
  <c r="E79" i="5"/>
  <c r="E87" i="5" s="1"/>
  <c r="E80" i="5"/>
  <c r="E94" i="5" s="1"/>
  <c r="F79" i="5"/>
  <c r="F87" i="5" s="1"/>
  <c r="F80" i="5"/>
  <c r="N79" i="5"/>
  <c r="N87" i="5" s="1"/>
  <c r="N80" i="5"/>
  <c r="I79" i="5"/>
  <c r="I87" i="5" s="1"/>
  <c r="I80" i="5"/>
  <c r="H79" i="5"/>
  <c r="H87" i="5" s="1"/>
  <c r="H80" i="5"/>
  <c r="C79" i="5"/>
  <c r="C80" i="5"/>
  <c r="C93" i="5" s="1"/>
  <c r="D79" i="5"/>
  <c r="O77" i="5"/>
  <c r="O74" i="5"/>
  <c r="O75" i="5"/>
  <c r="O73" i="5"/>
  <c r="O76" i="5"/>
  <c r="AC28" i="12" l="1"/>
  <c r="AC29" i="12" s="1"/>
  <c r="AC33" i="12" s="1"/>
  <c r="AC35" i="12" s="1"/>
  <c r="AC36" i="12" s="1"/>
  <c r="AC27" i="12"/>
  <c r="AD25" i="12"/>
  <c r="AD22" i="12"/>
  <c r="AE21" i="12"/>
  <c r="AD31" i="12"/>
  <c r="AD23" i="12"/>
  <c r="AD24" i="12" s="1"/>
  <c r="AD26" i="12" s="1"/>
  <c r="K21" i="12"/>
  <c r="J164" i="9"/>
  <c r="K163" i="9"/>
  <c r="C103" i="5" a="1"/>
  <c r="C103" i="5" s="1"/>
  <c r="C95" i="5" s="1"/>
  <c r="C104" i="5" a="1"/>
  <c r="C104" i="5" s="1"/>
  <c r="E101" i="5" a="1"/>
  <c r="E101" i="5" s="1"/>
  <c r="E102" i="5" s="1" a="1"/>
  <c r="E102" i="5" s="1"/>
  <c r="G101" i="5" a="1"/>
  <c r="G101" i="5" s="1"/>
  <c r="G102" i="5" s="1" a="1"/>
  <c r="G102" i="5" s="1"/>
  <c r="H101" i="5" a="1"/>
  <c r="H101" i="5" s="1"/>
  <c r="H102" i="5" s="1" a="1"/>
  <c r="H102" i="5" s="1"/>
  <c r="D101" i="5" a="1"/>
  <c r="D101" i="5" s="1"/>
  <c r="D102" i="5" s="1" a="1"/>
  <c r="D102" i="5" s="1"/>
  <c r="K101" i="5" a="1"/>
  <c r="K101" i="5" s="1"/>
  <c r="L101" i="5" a="1"/>
  <c r="L101" i="5" s="1"/>
  <c r="L102" i="5" s="1" a="1"/>
  <c r="L102" i="5" s="1"/>
  <c r="N101" i="5" a="1"/>
  <c r="N101" i="5" s="1"/>
  <c r="N102" i="5" s="1" a="1"/>
  <c r="N102" i="5" s="1"/>
  <c r="J101" i="5" a="1"/>
  <c r="J101" i="5" s="1"/>
  <c r="J102" i="5" s="1" a="1"/>
  <c r="J102" i="5" s="1"/>
  <c r="I101" i="5" a="1"/>
  <c r="I101" i="5" s="1"/>
  <c r="M101" i="5" a="1"/>
  <c r="M101" i="5" s="1"/>
  <c r="C87" i="5"/>
  <c r="C86" i="5"/>
  <c r="C89" i="5" s="1"/>
  <c r="C94" i="5"/>
  <c r="O110" i="5"/>
  <c r="D87" i="5"/>
  <c r="O87" i="5"/>
  <c r="M84" i="5"/>
  <c r="M85" i="5" s="1"/>
  <c r="M86" i="5"/>
  <c r="M89" i="5" s="1"/>
  <c r="I84" i="5"/>
  <c r="I85" i="5" s="1"/>
  <c r="I86" i="5"/>
  <c r="I89" i="5" s="1"/>
  <c r="J84" i="5"/>
  <c r="J85" i="5" s="1"/>
  <c r="J86" i="5"/>
  <c r="J89" i="5" s="1"/>
  <c r="D84" i="5"/>
  <c r="D85" i="5" s="1"/>
  <c r="D86" i="5"/>
  <c r="D89" i="5" s="1"/>
  <c r="N84" i="5"/>
  <c r="N85" i="5" s="1"/>
  <c r="N86" i="5"/>
  <c r="N89" i="5" s="1"/>
  <c r="K84" i="5"/>
  <c r="K85" i="5" s="1"/>
  <c r="K86" i="5"/>
  <c r="K89" i="5" s="1"/>
  <c r="G84" i="5"/>
  <c r="G85" i="5" s="1"/>
  <c r="G86" i="5"/>
  <c r="G89" i="5" s="1"/>
  <c r="F84" i="5"/>
  <c r="F85" i="5" s="1"/>
  <c r="F86" i="5"/>
  <c r="F89" i="5" s="1"/>
  <c r="H84" i="5"/>
  <c r="H85" i="5" s="1"/>
  <c r="H86" i="5"/>
  <c r="H89" i="5" s="1"/>
  <c r="E84" i="5"/>
  <c r="E85" i="5" s="1"/>
  <c r="E86" i="5"/>
  <c r="E89" i="5" s="1"/>
  <c r="L84" i="5"/>
  <c r="L85" i="5" s="1"/>
  <c r="L86" i="5"/>
  <c r="L89" i="5" s="1"/>
  <c r="C84" i="5"/>
  <c r="O82" i="5"/>
  <c r="O81" i="5"/>
  <c r="C91" i="5"/>
  <c r="C92" i="5"/>
  <c r="O80" i="5"/>
  <c r="G93" i="5"/>
  <c r="G94" i="5"/>
  <c r="G92" i="5"/>
  <c r="G91" i="5"/>
  <c r="L94" i="5"/>
  <c r="L93" i="5"/>
  <c r="L92" i="5"/>
  <c r="L91" i="5"/>
  <c r="F92" i="5"/>
  <c r="F93" i="5"/>
  <c r="F94" i="5"/>
  <c r="F91" i="5"/>
  <c r="D92" i="5"/>
  <c r="D93" i="5"/>
  <c r="D91" i="5"/>
  <c r="I94" i="5"/>
  <c r="I93" i="5"/>
  <c r="I92" i="5"/>
  <c r="I91" i="5"/>
  <c r="J94" i="5"/>
  <c r="J93" i="5"/>
  <c r="J91" i="5"/>
  <c r="J92" i="5"/>
  <c r="M94" i="5"/>
  <c r="M93" i="5"/>
  <c r="M92" i="5"/>
  <c r="M91" i="5"/>
  <c r="O79" i="5"/>
  <c r="K94" i="5"/>
  <c r="K91" i="5"/>
  <c r="K93" i="5"/>
  <c r="K92" i="5"/>
  <c r="N93" i="5"/>
  <c r="N92" i="5"/>
  <c r="N94" i="5"/>
  <c r="N91" i="5"/>
  <c r="H93" i="5"/>
  <c r="H94" i="5"/>
  <c r="H92" i="5"/>
  <c r="H91" i="5"/>
  <c r="E93" i="5"/>
  <c r="E91" i="5"/>
  <c r="E92" i="5"/>
  <c r="AD27" i="12" l="1"/>
  <c r="AD28" i="12"/>
  <c r="AD29" i="12" s="1"/>
  <c r="AD33" i="12" s="1"/>
  <c r="AD35" i="12" s="1"/>
  <c r="AD36" i="12" s="1"/>
  <c r="AE22" i="12"/>
  <c r="AE31" i="12" s="1"/>
  <c r="AE25" i="12"/>
  <c r="AE23" i="12"/>
  <c r="AE24" i="12" s="1"/>
  <c r="L21" i="12"/>
  <c r="K164" i="9"/>
  <c r="L163" i="9"/>
  <c r="J103" i="5" a="1"/>
  <c r="J103" i="5" s="1"/>
  <c r="J95" i="5" s="1"/>
  <c r="J104" i="5" a="1"/>
  <c r="J104" i="5" s="1"/>
  <c r="J88" i="5" s="1"/>
  <c r="N103" i="5" a="1"/>
  <c r="N103" i="5" s="1"/>
  <c r="N95" i="5" s="1"/>
  <c r="N104" i="5" a="1"/>
  <c r="N104" i="5" s="1"/>
  <c r="N88" i="5" s="1"/>
  <c r="L103" i="5" a="1"/>
  <c r="L103" i="5" s="1"/>
  <c r="L95" i="5" s="1"/>
  <c r="L104" i="5" a="1"/>
  <c r="L104" i="5" s="1"/>
  <c r="L88" i="5" s="1"/>
  <c r="D103" i="5" a="1"/>
  <c r="D103" i="5" s="1"/>
  <c r="D95" i="5" s="1"/>
  <c r="D104" i="5" a="1"/>
  <c r="D104" i="5" s="1"/>
  <c r="D88" i="5" s="1"/>
  <c r="H103" i="5" a="1"/>
  <c r="H103" i="5" s="1"/>
  <c r="H95" i="5" s="1"/>
  <c r="H104" i="5" a="1"/>
  <c r="H104" i="5" s="1"/>
  <c r="H88" i="5" s="1"/>
  <c r="G103" i="5" a="1"/>
  <c r="G103" i="5" s="1"/>
  <c r="G95" i="5" s="1"/>
  <c r="G104" i="5" a="1"/>
  <c r="G104" i="5" s="1"/>
  <c r="G88" i="5" s="1"/>
  <c r="E103" i="5" a="1"/>
  <c r="E103" i="5" s="1"/>
  <c r="E104" i="5" a="1"/>
  <c r="E104" i="5" s="1"/>
  <c r="E88" i="5" s="1"/>
  <c r="K102" i="5" a="1"/>
  <c r="K102" i="5" s="1"/>
  <c r="I102" i="5" a="1"/>
  <c r="I102" i="5" s="1"/>
  <c r="I104" i="5" s="1" a="1"/>
  <c r="I104" i="5" s="1"/>
  <c r="I88" i="5" s="1"/>
  <c r="M102" i="5" a="1"/>
  <c r="M102" i="5" s="1"/>
  <c r="M104" i="5" s="1" a="1"/>
  <c r="M104" i="5" s="1"/>
  <c r="O101" i="5"/>
  <c r="F88" i="5"/>
  <c r="F95" i="5"/>
  <c r="C88" i="5"/>
  <c r="C85" i="5"/>
  <c r="O85" i="5" s="1"/>
  <c r="O84" i="5"/>
  <c r="O86" i="5"/>
  <c r="O89" i="5"/>
  <c r="O92" i="5"/>
  <c r="O91" i="5"/>
  <c r="O83" i="5"/>
  <c r="O94" i="5"/>
  <c r="O93" i="5"/>
  <c r="AE26" i="12" l="1"/>
  <c r="AE28" i="12" s="1"/>
  <c r="AE29" i="12" s="1"/>
  <c r="AE33" i="12" s="1"/>
  <c r="AE34" i="12" s="1"/>
  <c r="AE35" i="12" s="1"/>
  <c r="AE36" i="12" s="1"/>
  <c r="U38" i="12" s="1"/>
  <c r="AE27" i="12"/>
  <c r="M21" i="12"/>
  <c r="L164" i="9"/>
  <c r="M163" i="9"/>
  <c r="M164" i="9" s="1"/>
  <c r="K104" i="5" a="1"/>
  <c r="K104" i="5" s="1"/>
  <c r="K88" i="5" s="1"/>
  <c r="M103" i="5" a="1"/>
  <c r="M103" i="5" s="1"/>
  <c r="M95" i="5" s="1"/>
  <c r="I103" i="5" a="1"/>
  <c r="I103" i="5" s="1"/>
  <c r="M88" i="5"/>
  <c r="K103" i="5" a="1"/>
  <c r="K103" i="5" s="1"/>
  <c r="K95" i="5" s="1"/>
  <c r="O102" i="5"/>
  <c r="E95" i="5"/>
  <c r="N21" i="12" l="1"/>
  <c r="O88" i="5"/>
  <c r="O104" i="5"/>
  <c r="O103" i="5"/>
  <c r="I95" i="5"/>
  <c r="O95" i="5" s="1"/>
  <c r="D38"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<sst xmlns="http://schemas.openxmlformats.org/spreadsheetml/2006/main" count="1757" uniqueCount="1004">
  <si>
    <t>How to think about your KPIs?</t>
  </si>
  <si>
    <t>Drill down to director level and add what metrics are specific to their role by department.</t>
  </si>
  <si>
    <t>Drill down to the field level and define what should be measured</t>
  </si>
  <si>
    <t>Highlight overlaps and dependencies: be ruthless on what metrics are paramount for your business and remit.</t>
  </si>
  <si>
    <t>Avoid so called best practices, standard metrics or the "data shows" trap</t>
  </si>
  <si>
    <t>Avoid the paralysis by analysis trap</t>
  </si>
  <si>
    <t xml:space="preserve">Sales KPIs for dummies </t>
  </si>
  <si>
    <t>Before deep diving into a long list of sales metrics, focus on what top executives do keep an eye on.</t>
  </si>
  <si>
    <t xml:space="preserve">They focus on the top line and the bottom line. </t>
  </si>
  <si>
    <t>They focus on long term customer engagement that drives visibility on growth.</t>
  </si>
  <si>
    <t>They focus on sales productivity that drives profitability</t>
  </si>
  <si>
    <t>Knowing that it is 5 times more expensive to acquire a new customer that to upsell existing ones, they focus on retention and portfolio penetration</t>
  </si>
  <si>
    <t>Unless your business review with your leadership team consist a prefilled template that you can't amend, consider addressing the following metrics</t>
  </si>
  <si>
    <t>TAM</t>
  </si>
  <si>
    <t>SUM by verticals (# of potential customers*average deal size)</t>
  </si>
  <si>
    <t>Are you dreaming big?</t>
  </si>
  <si>
    <t>SAM</t>
  </si>
  <si>
    <t>SUM by targeted segments and verticals (# of potential customers*average deal size)</t>
  </si>
  <si>
    <t>Are you just dreaming or thinking too?</t>
  </si>
  <si>
    <t>SOM</t>
  </si>
  <si>
    <t>(Current OR Expected Revenue)/(SAM*Average deal size)</t>
  </si>
  <si>
    <t>If you want to dream big, you'd better start being realistic about where you are starting from.</t>
  </si>
  <si>
    <t>Market value using the Supply approach</t>
  </si>
  <si>
    <t>SUM of vendors annual revenue</t>
  </si>
  <si>
    <t>Seriously, how big is my market?</t>
  </si>
  <si>
    <t>Cost of customer acquisition:</t>
  </si>
  <si>
    <t>Money spent on sales and marketing including salaries/numbers of customers gained</t>
  </si>
  <si>
    <t>Is your economic equation right?</t>
  </si>
  <si>
    <t>Margin per product</t>
  </si>
  <si>
    <t>(Selling price - cost of product)/Selling price*100</t>
  </si>
  <si>
    <t>How many products do you need to sell before reaching your breakeven point?</t>
  </si>
  <si>
    <t>Customer retention rate/Churn</t>
  </si>
  <si>
    <t>(# of customers at the end of a period - # of customers acquired during a period) / # of customers at the start of a period)*100</t>
  </si>
  <si>
    <t>Are you good at selling but failing to deliver value and why?</t>
  </si>
  <si>
    <t>Sales Cycle Length</t>
  </si>
  <si>
    <t>Total days between stage 0 and 1 for each deal / # number of deals or stage 0 and closed won</t>
  </si>
  <si>
    <t>Do you use this metrics for building your pipeline or also to identify where sales and marketing need better alignment?</t>
  </si>
  <si>
    <t>Employee retention rate</t>
  </si>
  <si>
    <t># of employees who left during the year / Average # of employees during the year</t>
  </si>
  <si>
    <t>Are you really building something great and do employees embrace your culture?</t>
  </si>
  <si>
    <t>Recurring revenue and non-recurring revenue</t>
  </si>
  <si>
    <t>Active accounts * prices of service split by recurring and non-recurring revenue.</t>
  </si>
  <si>
    <t>Are you really growing or fixing things?</t>
  </si>
  <si>
    <t>Customer lifetime value</t>
  </si>
  <si>
    <t>Average order amount * Average purchase per year * average retention time in year</t>
  </si>
  <si>
    <t>Does your team sell value or focus on short term sales?</t>
  </si>
  <si>
    <t>To illustrate the data shows trap mentioned in section 1, go beyond the data and assess what simple measures may confirm the numbers.</t>
  </si>
  <si>
    <t xml:space="preserve">Always look for supporting evidences that your data are correct and indisputable. </t>
  </si>
  <si>
    <t>For example, if you have experienced the painful and embarrassing situation where a customer who gave you a 8 NPS score has not renewed their contract, look at the following data:</t>
  </si>
  <si>
    <t>Customer lifetime value in the real life</t>
  </si>
  <si>
    <t>they give us good ideas: what is the faire target of customer sourced ideas by department</t>
  </si>
  <si>
    <t>they evangelize for us on social media: what is a fair KPI to measure customer influence on social medias</t>
  </si>
  <si>
    <t>they reduce our costs: what is a fair KPI, namely on the P2P or P2O department to measure customer driven cost reduction</t>
  </si>
  <si>
    <t>they collaborate with us: what is a faire metric of collaboration with customers from events to marketing</t>
  </si>
  <si>
    <t>they try our new products: what is a fair target of early adopters and improvement before market release</t>
  </si>
  <si>
    <t>they introduce us to their customers: what is a reasonable KPI by customer of leads</t>
  </si>
  <si>
    <t>they share their data with us: what is a valid measure of this contribution and what is it used for</t>
  </si>
  <si>
    <t>Dashboards that matters</t>
  </si>
  <si>
    <t>Ideally, build one single dashboard gathering the key KPIs you need to monitor.</t>
  </si>
  <si>
    <t>Build the dashboard with drill down capabilities so that you can investigate specific data further.</t>
  </si>
  <si>
    <t>Limit your dashboards to no more that  6 to 7 and leverage hierarchies to focus on a specific team or region..</t>
  </si>
  <si>
    <r>
      <rPr>
        <b/>
        <sz val="10"/>
        <color theme="1"/>
        <rFont val="Arial"/>
        <family val="2"/>
        <scheme val="minor"/>
      </rPr>
      <t>Performance vs achievement</t>
    </r>
    <r>
      <rPr>
        <sz val="10"/>
        <color theme="1"/>
        <rFont val="Arial"/>
        <family val="2"/>
        <scheme val="minor"/>
      </rPr>
      <t>: region, unit, team, reps, type of business, type of accounts, products</t>
    </r>
  </si>
  <si>
    <r>
      <rPr>
        <b/>
        <sz val="10"/>
        <color theme="1"/>
        <rFont val="Arial"/>
        <family val="2"/>
        <scheme val="minor"/>
      </rPr>
      <t>CW analysis</t>
    </r>
    <r>
      <rPr>
        <sz val="10"/>
        <color theme="1"/>
        <rFont val="Arial"/>
        <family val="2"/>
        <scheme val="minor"/>
      </rPr>
      <t>: region, unit, team, reps, type of business, industry, type of accounts, products, source, real source, win rate (CW/Total pipeline), win ratio (CW/CNW)</t>
    </r>
  </si>
  <si>
    <r>
      <rPr>
        <b/>
        <sz val="10"/>
        <color theme="1"/>
        <rFont val="Arial"/>
        <family val="2"/>
        <scheme val="minor"/>
      </rPr>
      <t>CNW analysis:</t>
    </r>
    <r>
      <rPr>
        <sz val="10"/>
        <color theme="1"/>
        <rFont val="Arial"/>
        <family val="2"/>
        <scheme val="minor"/>
      </rPr>
      <t xml:space="preserve"> region, unit, team, reps, type of business, industry, type of accounts, products, source, real source, loss rate (CNW/Total pipeline), loss ratio (CNW/CW)</t>
    </r>
  </si>
  <si>
    <r>
      <rPr>
        <b/>
        <sz val="10"/>
        <color theme="1"/>
        <rFont val="Arial"/>
        <family val="2"/>
        <scheme val="minor"/>
      </rPr>
      <t>Pipeline &amp; forecast</t>
    </r>
    <r>
      <rPr>
        <sz val="10"/>
        <color theme="1"/>
        <rFont val="Arial"/>
        <family val="2"/>
        <scheme val="minor"/>
      </rPr>
      <t>: region, unit, team, reps, stage, type of business, vertical, type of accounts, products, source, real source, stage duration, average deal size</t>
    </r>
  </si>
  <si>
    <r>
      <rPr>
        <b/>
        <sz val="10"/>
        <color theme="1"/>
        <rFont val="Arial"/>
        <family val="2"/>
        <scheme val="minor"/>
      </rPr>
      <t>Lead generation:</t>
    </r>
    <r>
      <rPr>
        <sz val="10"/>
        <color theme="1"/>
        <rFont val="Arial"/>
        <family val="2"/>
        <scheme val="minor"/>
      </rPr>
      <t xml:space="preserve"> region, unit, team, reps, stage, sources, conversion rate from SML to SQL and SAL, type of business, vertical, type of accounts, products, real source, lead attribution amount, cost of lead, average deal size variation. </t>
    </r>
  </si>
  <si>
    <r>
      <rPr>
        <b/>
        <sz val="10"/>
        <color theme="1"/>
        <rFont val="Arial"/>
        <family val="2"/>
        <scheme val="minor"/>
      </rPr>
      <t>Activities*:</t>
    </r>
    <r>
      <rPr>
        <sz val="10"/>
        <color theme="1"/>
        <rFont val="Arial"/>
        <family val="2"/>
        <scheme val="minor"/>
      </rPr>
      <t xml:space="preserve">  region, unit, team, reps, stage, type of business, vertical, type of accounts, products, type of activity, contribution to pipeline, contribution to opportunity advancement by stage. </t>
    </r>
  </si>
  <si>
    <r>
      <rPr>
        <b/>
        <sz val="10"/>
        <color theme="1"/>
        <rFont val="Arial"/>
        <family val="2"/>
        <scheme val="minor"/>
      </rPr>
      <t>Discipline and delinquency**</t>
    </r>
    <r>
      <rPr>
        <sz val="10"/>
        <color theme="1"/>
        <rFont val="Arial"/>
        <family val="2"/>
        <scheme val="minor"/>
      </rPr>
      <t>:  region, unit, team, reps, stage, empty mandatory fields, not activity, no next step, stalled opportunities by stage, close date in the past, untouched stakeholder, opportunities moving backward, amount downsized</t>
    </r>
  </si>
  <si>
    <t>*Handle with care: implement only for pipeline and transactional business; do not set up with senior sales reps, unless you think chasing big deals can be driven by activity based coaching, which is unlikely</t>
  </si>
  <si>
    <t>**to measure health of pipeline and opportunities: leveraged to coach your resp not to berate them; useful when implementing a new sales process or gearing up on numbers accuracy</t>
  </si>
  <si>
    <t>There are many useful leading indicators and metrics to measure reps' performance.</t>
  </si>
  <si>
    <t>"Best practices” sales metrics usually cover activities, pipeline and revenue. It is a good start but it is usually not enough.</t>
  </si>
  <si>
    <t>On activities, the "leading, leaning, lagging" approach takes for granted you will reach your goal by completing a number of key activities.</t>
  </si>
  <si>
    <t>For example, leading activities such as the number of calls must be monitored to generate the right amount of pipeline, and then bookings.</t>
  </si>
  <si>
    <t>Unless, there is a performance issue, which is a totally different issue.</t>
  </si>
  <si>
    <t>We summarize in the below sections the metrics to look at.</t>
  </si>
  <si>
    <t>Activities metrics</t>
  </si>
  <si>
    <t>Activities metrics cover</t>
  </si>
  <si>
    <t>Activity Results vs. Activity Goals: as far as you have implemented an activity based business monitoring approach.</t>
  </si>
  <si>
    <r>
      <rPr>
        <b/>
        <sz val="10"/>
        <color rgb="FF000000"/>
        <rFont val="Arial"/>
        <family val="2"/>
      </rPr>
      <t xml:space="preserve">The number of activities </t>
    </r>
    <r>
      <rPr>
        <sz val="10"/>
        <color rgb="FF000000"/>
        <rFont val="Arial"/>
        <family val="2"/>
      </rPr>
      <t>are the activities performed by your rep in a certain period</t>
    </r>
  </si>
  <si>
    <t>In this case, the correlation has to be looked for within a specific account or set of accounts where SMART goals have been set, namely in terms of account penetration.</t>
  </si>
  <si>
    <t>The activities metrics typically include:</t>
  </si>
  <si>
    <t>Number of first outreach</t>
  </si>
  <si>
    <t>Number of follow up calls</t>
  </si>
  <si>
    <t>Number of leads</t>
  </si>
  <si>
    <t>Number of demos</t>
  </si>
  <si>
    <t>Number of trials</t>
  </si>
  <si>
    <t>Number of offers</t>
  </si>
  <si>
    <t>Number of deals at each stage</t>
  </si>
  <si>
    <t>Number of bookings</t>
  </si>
  <si>
    <t>In specific industries like technology and services, customer engagement is key: the number of lunches or outside business as usual activities should be considered.</t>
  </si>
  <si>
    <t>Indirect activities such as customer attendance to company events should be tracked too, namely at consideration or purchasing stages.</t>
  </si>
  <si>
    <t>A call should translate into a conversation, a valuable one, not simply a connection.</t>
  </si>
  <si>
    <t>A connection should in turn convert into a discovery meeting, which should convert into an opportunity progressing to the next stage.</t>
  </si>
  <si>
    <t>Efficiency ratios tell you the hidden story behind hard working styles: training requirement, territory potential, or sales messaging efficiency.</t>
  </si>
  <si>
    <t>Displaying real time results on the sales floor is the best way to drive accountability and competition.</t>
  </si>
  <si>
    <t>Keep in mind that while accountability does work for junior reps, it is not the best value for more mature sales organizations: prefer responsibility.</t>
  </si>
  <si>
    <t>Pipeline metrics</t>
  </si>
  <si>
    <t>Pipeline metrics usually cover:</t>
  </si>
  <si>
    <t>Pipeline Integrity: sale discipline, CRM hygiene, health of existing opportunities</t>
  </si>
  <si>
    <t>Sales Funnel Conversions &amp; Win Rate: deals velocity, probability to make the numbers during a given period of time, reps effectiveness vs efficiency.</t>
  </si>
  <si>
    <t>Duration or Sales Cycle by Stage: useful to build lead generation resources and assess what is really going to close by a specific deadline</t>
  </si>
  <si>
    <t>Win Rate by Opportunity Value: sweet spot and reps skills by sales divisions</t>
  </si>
  <si>
    <t>Slippage: reps command of the business and training needs on negotiation and closing</t>
  </si>
  <si>
    <t>High-Probability Opportunities: the ones that need absolute focus. Get your professional services ready to take over.</t>
  </si>
  <si>
    <t>Pipeline Integrity</t>
  </si>
  <si>
    <t>The indicators cover the usual suspects in terms of sales disciplines</t>
  </si>
  <si>
    <t>Customer not closing:  am I the only one thinking there is a next step or has the next been mutually agreed?</t>
  </si>
  <si>
    <t>Stuck in stage: Houston, there is a problem; power, value, vision, control of all of them.</t>
  </si>
  <si>
    <t>Lingering opportunities: some go beyond the average death age or average age in stage for a reason, the point is to understand the root cause.</t>
  </si>
  <si>
    <t>Stalled deals: a combination of reps excuses, optimism or missing action in the qualification process. Take action and send them back to previous stage accordingly.</t>
  </si>
  <si>
    <t>No next step or no mutually agreed next step, no deadline or no specific deliverable. Well, reinforce what a next step really is.</t>
  </si>
  <si>
    <t>No value task completed such as ROI calculation: missing action in your sales process or the mutual plan agreed with the customer. Because of you or the customer.</t>
  </si>
  <si>
    <t>No access to power: you bet on your champion to sell on your behalf? good luck!.</t>
  </si>
  <si>
    <t>Sales steps completion: your opportunities are moving forward but have you really completed the high value activities that justify the sales stage?</t>
  </si>
  <si>
    <t>Sales Funnel Conversions &amp; Win Rate</t>
  </si>
  <si>
    <t>% of deals progressing to the next stage: # deals in stage (n)/ # of deals in stage (n-1); how is your pipeline velocity compared to historical data?</t>
  </si>
  <si>
    <t>Win rate: numbers of closed deals / number of deals entering the pipeline first stage; are you generating leads that close or just building a pipeline?</t>
  </si>
  <si>
    <t>Win ratio: Total amount of deals won/Total amount of deals lost or #deals won/#deasl lost; a real source of inspiration for what you need to continue or stop doing.</t>
  </si>
  <si>
    <t>In other words, if you detect pipeline leakage at a specific stage, you need to fix it.</t>
  </si>
  <si>
    <t>Duration or Sales Cycle by Stage</t>
  </si>
  <si>
    <t>Historical data about your average sales cycle: this is an indication, not a rule of thumb, especially if you sell big in strategic accounts.</t>
  </si>
  <si>
    <t>Historical data about how long each opportunity spends in specific stages: your opportunity momentum tells a lot about your deals health and what you may have missed.</t>
  </si>
  <si>
    <t>Historical data about won and lost deals: no need of AI to predict what deals are in good shape and likely to close.</t>
  </si>
  <si>
    <t>Win Rate by Opportunity Value</t>
  </si>
  <si>
    <t>Value is one criteria but the win analysis should include much more than that.</t>
  </si>
  <si>
    <t>Unless you believe a sweet spot is where you spend your summer vacations.</t>
  </si>
  <si>
    <t>Slippage</t>
  </si>
  <si>
    <t>High-Probability Opportunities</t>
  </si>
  <si>
    <t>Focusing on these opportunities is a must when closing your quarter or your fiscal year.</t>
  </si>
  <si>
    <t>Not every opportunity are worth your time and effort.</t>
  </si>
  <si>
    <t>Pipeline Analysis</t>
  </si>
  <si>
    <t>The 4 most important metrics for evaluating your pipeline’s change over time, and how these changes will affect the revenue, are:</t>
  </si>
  <si>
    <t>Pipeline by Employee</t>
  </si>
  <si>
    <t>This allows individual coaching on pipeline consistency, skills and activities.</t>
  </si>
  <si>
    <t>The ultimate goal is to validate resp abilities around:</t>
  </si>
  <si>
    <t>Pipeline generation</t>
  </si>
  <si>
    <t>Deals progression</t>
  </si>
  <si>
    <t>Closing skills</t>
  </si>
  <si>
    <t>product</t>
  </si>
  <si>
    <t>amount</t>
  </si>
  <si>
    <t>customer size</t>
  </si>
  <si>
    <t>close date</t>
  </si>
  <si>
    <t>any custom field relevant to your organization</t>
  </si>
  <si>
    <t>Historical Pipeline Trend</t>
  </si>
  <si>
    <t>The key questions are:</t>
  </si>
  <si>
    <t>when starting the quarter, what amount of new pipeline are we able to build that will close in quarter?</t>
  </si>
  <si>
    <t>Pipeline In/Pipeline out</t>
  </si>
  <si>
    <t>The analysis should be completed by filtering your closed lost opportunities by stage to trigger the right coaching discussions.</t>
  </si>
  <si>
    <t>Sales Forecast</t>
  </si>
  <si>
    <t>This predicts the revenue based on historical conversion rate and number of opportunities currently in your pipeline</t>
  </si>
  <si>
    <t>The key question is: am I going to hit my numbers?</t>
  </si>
  <si>
    <t>It has must include the historical ability to create opportunities that close during the period.</t>
  </si>
  <si>
    <t>Focus on results</t>
  </si>
  <si>
    <t>Let's explore the metrics you should use to ensure that your sales results are in line with your expectations and trending in the right direction:</t>
  </si>
  <si>
    <t>Closed Sales vs. Goals</t>
  </si>
  <si>
    <t>Won/Lost Analysis by Close Date</t>
  </si>
  <si>
    <t>Won/Lost by Reason</t>
  </si>
  <si>
    <t>Sales Cycle</t>
  </si>
  <si>
    <t>Sales Bookings</t>
  </si>
  <si>
    <t>This usually covers the number and value of deals your reps have won compared to their goals.</t>
  </si>
  <si>
    <t>Who is hitting the numbers</t>
  </si>
  <si>
    <t>How many deals are needed for a given rep to close to bridge the gap between current situation and goal</t>
  </si>
  <si>
    <t>It should be completed for each rep by:</t>
  </si>
  <si>
    <t>Split between new business and upsell</t>
  </si>
  <si>
    <t>Average deals size</t>
  </si>
  <si>
    <t>Average deal cycle</t>
  </si>
  <si>
    <t>According to your analysis, you can for example set smart goals and start coaching around new business opening, deal size and or deal velocity.</t>
  </si>
  <si>
    <t>It should include:</t>
  </si>
  <si>
    <t>Close Analysis: region, unit, team, reps, type of business, industry, type of accounts, products, source, real source, win rate (CW/Total pipeline), win ratio (CW/CNW)</t>
  </si>
  <si>
    <t>The reason for winning or losing, the real one.</t>
  </si>
  <si>
    <t>The list of closing reasons should be created and maintained together with your customer success team.</t>
  </si>
  <si>
    <t>This gives a precious insight on best practices to implement or poor practices to fix.</t>
  </si>
  <si>
    <t>It should be completed by an in depth analysis by rep, product, type of business and any other relevant metric for your organization in terms of geographies, divisions or resources contribution.</t>
  </si>
  <si>
    <t>If you are chasing handful of strategic accounts, the analysis should include not only historical revenue but also expected revenue by account from your account planning sessions.</t>
  </si>
  <si>
    <t>Customer lifetime value: (annual order value-churn)* n where n is the number of years for the calculation</t>
  </si>
  <si>
    <t>Customer acquisition and service cost: (total lead generation, marketing, professional services, support and sales cost) * n where n is the numbers of years for COSS calculation</t>
  </si>
  <si>
    <r>
      <t>•</t>
    </r>
    <r>
      <rPr>
        <b/>
        <sz val="10"/>
        <color theme="1"/>
        <rFont val="Arial"/>
        <family val="2"/>
        <scheme val="minor"/>
      </rPr>
      <t xml:space="preserve"> Dials / Rep / Day</t>
    </r>
    <r>
      <rPr>
        <sz val="10"/>
        <color theme="1"/>
        <rFont val="Arial"/>
        <family val="2"/>
        <scheme val="minor"/>
      </rPr>
      <t xml:space="preserve"> = 60 (Top Performers = 100+): set decent target and then move to stretched goals.</t>
    </r>
  </si>
  <si>
    <r>
      <t xml:space="preserve">• </t>
    </r>
    <r>
      <rPr>
        <b/>
        <sz val="10"/>
        <color theme="1"/>
        <rFont val="Arial"/>
        <family val="2"/>
        <scheme val="minor"/>
      </rPr>
      <t>Dial : Connect</t>
    </r>
    <r>
      <rPr>
        <sz val="10"/>
        <color theme="1"/>
        <rFont val="Arial"/>
        <family val="2"/>
        <scheme val="minor"/>
      </rPr>
      <t>, i.e. dials needed to get a conversation = 5-10 Dials: adjust depending on your SDR performance and marketing campaigns in progress</t>
    </r>
  </si>
  <si>
    <r>
      <t xml:space="preserve">• </t>
    </r>
    <r>
      <rPr>
        <b/>
        <sz val="10"/>
        <color theme="1"/>
        <rFont val="Arial"/>
        <family val="2"/>
        <scheme val="minor"/>
      </rPr>
      <t>Connect : Appointment</t>
    </r>
    <r>
      <rPr>
        <sz val="10"/>
        <color theme="1"/>
        <rFont val="Arial"/>
        <family val="2"/>
        <scheme val="minor"/>
      </rPr>
      <t xml:space="preserve"> : probability to get an appointment after having a conversation = 15%: move the needle to stretch goals but beware of false pipeline created true to focus on quantity vs quality</t>
    </r>
  </si>
  <si>
    <r>
      <t xml:space="preserve">• </t>
    </r>
    <r>
      <rPr>
        <b/>
        <sz val="10"/>
        <color theme="1"/>
        <rFont val="Arial"/>
        <family val="2"/>
        <scheme val="minor"/>
      </rPr>
      <t>Dials : Opportunity</t>
    </r>
    <r>
      <rPr>
        <sz val="10"/>
        <color theme="1"/>
        <rFont val="Arial"/>
        <family val="2"/>
        <scheme val="minor"/>
      </rPr>
      <t>, i.e. numbers of dials before finding a lead that turns into a stage 1 opportunity = 100 Dials; may vary seriously depending on your brand notoriety</t>
    </r>
  </si>
  <si>
    <r>
      <t>•</t>
    </r>
    <r>
      <rPr>
        <b/>
        <sz val="10"/>
        <color theme="1"/>
        <rFont val="Arial"/>
        <family val="2"/>
        <scheme val="minor"/>
      </rPr>
      <t xml:space="preserve"> Opportunity : Deal</t>
    </r>
    <r>
      <rPr>
        <sz val="10"/>
        <color theme="1"/>
        <rFont val="Arial"/>
        <family val="2"/>
        <scheme val="minor"/>
      </rPr>
      <t>, i.e. conversion rate = 30%; included upsell, cross sell and new business: focus on new business, you don't need SDRs to follow up on upsell and cross sell.</t>
    </r>
  </si>
  <si>
    <r>
      <t xml:space="preserve">• </t>
    </r>
    <r>
      <rPr>
        <b/>
        <sz val="10"/>
        <color theme="1"/>
        <rFont val="Arial"/>
        <family val="2"/>
        <scheme val="minor"/>
      </rPr>
      <t>Cost per Appointment</t>
    </r>
    <r>
      <rPr>
        <sz val="10"/>
        <color theme="1"/>
        <rFont val="Arial"/>
        <family val="2"/>
        <scheme val="minor"/>
      </rPr>
      <t xml:space="preserve"> = $400 to 700; requires to take account the total cost of get a first meeting ( salary, marketing costs, event cost,...)</t>
    </r>
  </si>
  <si>
    <r>
      <t>•</t>
    </r>
    <r>
      <rPr>
        <b/>
        <sz val="10"/>
        <color theme="1"/>
        <rFont val="Arial"/>
        <family val="2"/>
        <scheme val="minor"/>
      </rPr>
      <t xml:space="preserve"> Open Opportunities per Quota-Carrying Rep</t>
    </r>
    <r>
      <rPr>
        <sz val="10"/>
        <color theme="1"/>
        <rFont val="Arial"/>
        <family val="2"/>
        <scheme val="minor"/>
      </rPr>
      <t xml:space="preserve"> : 20 for transactional businesses; from 5 to 10 in large accounts; look at your historical data.</t>
    </r>
  </si>
  <si>
    <r>
      <t>•</t>
    </r>
    <r>
      <rPr>
        <b/>
        <sz val="10"/>
        <color theme="1"/>
        <rFont val="Arial"/>
        <family val="2"/>
        <scheme val="minor"/>
      </rPr>
      <t xml:space="preserve"> New Business Win Rate %</t>
    </r>
    <r>
      <rPr>
        <sz val="10"/>
        <color theme="1"/>
        <rFont val="Arial"/>
        <family val="2"/>
        <scheme val="minor"/>
      </rPr>
      <t xml:space="preserve"> = 20%: take time to define what new business really is.</t>
    </r>
  </si>
  <si>
    <r>
      <t>•</t>
    </r>
    <r>
      <rPr>
        <b/>
        <sz val="10"/>
        <color theme="1"/>
        <rFont val="Arial"/>
        <family val="2"/>
        <scheme val="minor"/>
      </rPr>
      <t xml:space="preserve"> Marketing and lead generation contribution to pipeline</t>
    </r>
    <r>
      <rPr>
        <sz val="10"/>
        <color theme="1"/>
        <rFont val="Arial"/>
        <family val="2"/>
        <scheme val="minor"/>
      </rPr>
      <t xml:space="preserve"> = 40% to 60%; look at the real source, i.e. the very first touchpoint, not marketing influence.</t>
    </r>
  </si>
  <si>
    <t>How long does it take to finish up your potential customers list?</t>
  </si>
  <si>
    <t>Year</t>
  </si>
  <si>
    <t>Date</t>
  </si>
  <si>
    <t>Line</t>
  </si>
  <si>
    <t>Item</t>
  </si>
  <si>
    <t>Amount</t>
  </si>
  <si>
    <t>Comments</t>
  </si>
  <si>
    <t>Addressable market</t>
  </si>
  <si>
    <t>Number of companies in your market</t>
  </si>
  <si>
    <t>Serviceable market</t>
  </si>
  <si>
    <t>Realistic number of companies you can sell to</t>
  </si>
  <si>
    <t># contacts</t>
  </si>
  <si>
    <t># of names corresponding to your companies you need to reach out to</t>
  </si>
  <si>
    <t>Data quality</t>
  </si>
  <si>
    <t>% of names of a list that are real and up to date</t>
  </si>
  <si>
    <t># of dials</t>
  </si>
  <si>
    <t>Number of tries before giving up calling a prospect</t>
  </si>
  <si>
    <t># of dials in</t>
  </si>
  <si>
    <t>Average number of dials to reach out to a contact</t>
  </si>
  <si>
    <t>SDRs</t>
  </si>
  <si>
    <t># of SDRs in your team</t>
  </si>
  <si>
    <t>Dials per day per rep</t>
  </si>
  <si>
    <t>50 is the average - you can stretch to 60 and more for the best reps</t>
  </si>
  <si>
    <t>Working days per year</t>
  </si>
  <si>
    <t>MQLs per year</t>
  </si>
  <si>
    <t>Enter your marketing goal for MQL per year</t>
  </si>
  <si>
    <t>Companies you can get</t>
  </si>
  <si>
    <t>Names you can get</t>
  </si>
  <si>
    <t>Dials per name</t>
  </si>
  <si>
    <t>Dials needed</t>
  </si>
  <si>
    <t>SDR dials per year</t>
  </si>
  <si>
    <t>SDR dial to MQL per year</t>
  </si>
  <si>
    <t>Years to finish your list</t>
  </si>
  <si>
    <t>Remember that out of your contacts:</t>
  </si>
  <si>
    <t>3% are “buying now”.</t>
  </si>
  <si>
    <t>6-7% are “open to it”.</t>
  </si>
  <si>
    <t>30% are “not thinking about it”.</t>
  </si>
  <si>
    <t>30% “don’t think they’re interested”.</t>
  </si>
  <si>
    <t>30% “know they aren’t interested”.</t>
  </si>
  <si>
    <t>The winning zone is the 30% that are “not thinking about it”.</t>
  </si>
  <si>
    <t>Customer centric selling KPIs are not different from any other business.</t>
  </si>
  <si>
    <t>Let's face facts: the point of a customer centric strategy is not to leave the driver seat to your customers.</t>
  </si>
  <si>
    <t>Revenue</t>
  </si>
  <si>
    <t>Costs</t>
  </si>
  <si>
    <t>Revenue per customer</t>
  </si>
  <si>
    <t>Cost of sales</t>
  </si>
  <si>
    <t>Orders per customer</t>
  </si>
  <si>
    <t>Cost per order</t>
  </si>
  <si>
    <t>Referrals from customers</t>
  </si>
  <si>
    <t>Cost of retention</t>
  </si>
  <si>
    <t>Expansion potential and expected future purchases</t>
  </si>
  <si>
    <t>Cost of acquisition</t>
  </si>
  <si>
    <t>Win analysis</t>
  </si>
  <si>
    <t>Cost associated to future growth</t>
  </si>
  <si>
    <t>Loss analysis</t>
  </si>
  <si>
    <t>Reasons for churning</t>
  </si>
  <si>
    <t>Reasons for switching to competition</t>
  </si>
  <si>
    <t>One of the main differences between product centric and customer centric companies lies in the difference between market share and share of wallet.</t>
  </si>
  <si>
    <t>Market share is the percentage of the market owned by a company compared to its competitors.</t>
  </si>
  <si>
    <t xml:space="preserve">Share of wallet is how much a specific customer spends on your brand versus your competitors. </t>
  </si>
  <si>
    <t>Share of wallet = (1-Rank/(# of brands+1))*(2/# of brands)</t>
  </si>
  <si>
    <t>Where # of brands is your number of competitors</t>
  </si>
  <si>
    <t>Rank is your rank among those brands according to customers</t>
  </si>
  <si>
    <t>The value of customers is not measured through the number of products sold but through customer equity.</t>
  </si>
  <si>
    <t>Customer equity is the sum of all customer lifetime values.</t>
  </si>
  <si>
    <t>Just like long term investments for finance, customer equity is the total expected profit generated from customers over time.</t>
  </si>
  <si>
    <t>It includes current and future profits, to which a discount rate is applied to factor uncertainty, just like in investments Net Present Value calculation.</t>
  </si>
  <si>
    <t>Customer equity = Sum of all customer lifetime values of current and future customers</t>
  </si>
  <si>
    <t>Let's take an example over 3 years. The profit per customer include ongoing marketing efforts.</t>
  </si>
  <si>
    <t>Year 1</t>
  </si>
  <si>
    <t>Year 2</t>
  </si>
  <si>
    <t>Year 3</t>
  </si>
  <si>
    <t>Installed base Start of the FY</t>
  </si>
  <si>
    <t>New customers</t>
  </si>
  <si>
    <t>Churn</t>
  </si>
  <si>
    <t>Installed base End of the FY</t>
  </si>
  <si>
    <t>Average # customers in FY</t>
  </si>
  <si>
    <t>Profit per customer</t>
  </si>
  <si>
    <t>Total profit</t>
  </si>
  <si>
    <t>Discount rate</t>
  </si>
  <si>
    <t>Discounted profit</t>
  </si>
  <si>
    <t>Total discounted profit</t>
  </si>
  <si>
    <t>Reps metrics are paramount for managers to monitor their team's business</t>
  </si>
  <si>
    <t>There is no denying results vs goals, pipeline analysis or win/loss analysis data will tell them a lot about individual and collective performance</t>
  </si>
  <si>
    <t>Compared to reps, managers should be assessed against specific metrics that actually gauge their true impact.</t>
  </si>
  <si>
    <t>Our advice is to keep these metrics simple is to first leverage the key success factors you have listed to hire your sales leaders.</t>
  </si>
  <si>
    <t>Then you can add, factor and score the skills, behaviors and attitudes that matter to your organization</t>
  </si>
  <si>
    <t>Talents magnet</t>
  </si>
  <si>
    <t>Number of reps in the team</t>
  </si>
  <si>
    <t>Voluntary reps turnover</t>
  </si>
  <si>
    <t>Regretted reps turnover</t>
  </si>
  <si>
    <t>Successful new hires</t>
  </si>
  <si>
    <t>Talent developer</t>
  </si>
  <si>
    <t>Average productivity time</t>
  </si>
  <si>
    <t>% of Reps achieving quotas</t>
  </si>
  <si>
    <t>% of reps exceeding quota</t>
  </si>
  <si>
    <t>% of reps going to President Club</t>
  </si>
  <si>
    <t>% of reps promoted</t>
  </si>
  <si>
    <t>Business maker</t>
  </si>
  <si>
    <t>% of deals won</t>
  </si>
  <si>
    <t>Overall Plan attainment</t>
  </si>
  <si>
    <t>% of deals with proven added value against competition</t>
  </si>
  <si>
    <t>Average % of discount per rep, type of business and industry</t>
  </si>
  <si>
    <t>% of deals including new products</t>
  </si>
  <si>
    <t>Multiplier</t>
  </si>
  <si>
    <t>Productivity ratio vs FTE</t>
  </si>
  <si>
    <t>Productivity ratio vs FTE plus non quota carrying resources</t>
  </si>
  <si>
    <t>Enabler</t>
  </si>
  <si>
    <t>% of variance between own forecast and the sum of reps forecast</t>
  </si>
  <si>
    <t>% CRM adoption</t>
  </si>
  <si>
    <t>Deal integrity</t>
  </si>
  <si>
    <t>Investor</t>
  </si>
  <si>
    <t>Number of hours dedicated to coaching</t>
  </si>
  <si>
    <t>Number of hours dedicated to sharing (1)</t>
  </si>
  <si>
    <t>Direct reports NPS</t>
  </si>
  <si>
    <t>Connector</t>
  </si>
  <si>
    <t>Churn rate against counterparts, by reps, customer type and industry</t>
  </si>
  <si>
    <t>Customer NPS</t>
  </si>
  <si>
    <t>(1)</t>
  </si>
  <si>
    <t>Knowledge sharing sessions from business knowledge to industry expertise</t>
  </si>
  <si>
    <t>Purpose</t>
  </si>
  <si>
    <t>Definitions</t>
  </si>
  <si>
    <t>Who</t>
  </si>
  <si>
    <t>For managers and sales executives</t>
  </si>
  <si>
    <t>Gross pipeline</t>
  </si>
  <si>
    <t xml:space="preserve">Sum of opportunities gross amount </t>
  </si>
  <si>
    <t>For your SDRs too to manage your weekly hug</t>
  </si>
  <si>
    <t>Factored pipeline</t>
  </si>
  <si>
    <t>Sum of (opportunities * probability to close) - Should be your closed won opportunities for previous quarters</t>
  </si>
  <si>
    <t>Maturity 1 pipeline</t>
  </si>
  <si>
    <t>Factored pipeline with probability equals or more than 50%</t>
  </si>
  <si>
    <t>What</t>
  </si>
  <si>
    <t>A tool to manage your forecast and calculate your pipeline effort by source</t>
  </si>
  <si>
    <t>Maturity 2 pipeline</t>
  </si>
  <si>
    <t>Maturity 1 pipeline minus aging or stuck in stage opportunities - age and age in stage limits should come from your win/loss analysis history</t>
  </si>
  <si>
    <t>A tool as good as your Opps in your CRM are real and updated</t>
  </si>
  <si>
    <t xml:space="preserve">Do's and Don'ts </t>
  </si>
  <si>
    <t>Your judgment, not your gut feeling</t>
  </si>
  <si>
    <t>Weighted pipeline</t>
  </si>
  <si>
    <t>Average of various pipeline calculation</t>
  </si>
  <si>
    <t>When</t>
  </si>
  <si>
    <t>Data must be updated on a monthly basis</t>
  </si>
  <si>
    <t>The pipeline contribution by source should be updated too.</t>
  </si>
  <si>
    <t>Process</t>
  </si>
  <si>
    <t>Start with pulling your annual pipeline gross report by quarter from your CRM</t>
  </si>
  <si>
    <t>Fill cells in blue with KPIs from your reports and dashboards</t>
  </si>
  <si>
    <t xml:space="preserve"> Cell to fill</t>
  </si>
  <si>
    <t xml:space="preserve"> Cell calculated</t>
  </si>
  <si>
    <t>Basic data</t>
  </si>
  <si>
    <t>Outbound TA 1</t>
  </si>
  <si>
    <t>Outbound TA2</t>
  </si>
  <si>
    <t>Marketing</t>
  </si>
  <si>
    <t>Customer Success</t>
  </si>
  <si>
    <t>Account Executive</t>
  </si>
  <si>
    <t>Name</t>
  </si>
  <si>
    <t>Average deal size</t>
  </si>
  <si>
    <t># Personas</t>
  </si>
  <si>
    <t># Inbound per month*</t>
  </si>
  <si>
    <t>Annual target</t>
  </si>
  <si>
    <t>Average deal age</t>
  </si>
  <si>
    <t>TA emails to touch</t>
  </si>
  <si>
    <t>Events Leads*</t>
  </si>
  <si>
    <t>Inbound call**</t>
  </si>
  <si>
    <t>Year starting</t>
  </si>
  <si>
    <t>Pipe Conversion rate</t>
  </si>
  <si>
    <t>TA email to lead</t>
  </si>
  <si>
    <t>Inbound call</t>
  </si>
  <si>
    <t>Inbound meetings</t>
  </si>
  <si>
    <t xml:space="preserve">Pipe Sales multiplier </t>
  </si>
  <si>
    <t>TA lead to Opp</t>
  </si>
  <si>
    <t>Inbound to Opp</t>
  </si>
  <si>
    <t>Year ending</t>
  </si>
  <si>
    <t xml:space="preserve">Pipe SDR multiplier </t>
  </si>
  <si>
    <t>TA emails to Opp</t>
  </si>
  <si>
    <t>TA emails to Opps</t>
  </si>
  <si>
    <t>Event calls</t>
  </si>
  <si>
    <t>Quarter start date</t>
  </si>
  <si>
    <t>Pipe Marketing multiplier</t>
  </si>
  <si>
    <t>TA lead # calls</t>
  </si>
  <si>
    <t>TA calls</t>
  </si>
  <si>
    <t>Events meetings</t>
  </si>
  <si>
    <t>Quarter End date</t>
  </si>
  <si>
    <t>TA lead # meetings</t>
  </si>
  <si>
    <t>TA meetings</t>
  </si>
  <si>
    <t>Inbound Lead to Opp</t>
  </si>
  <si>
    <t>Current quarter</t>
  </si>
  <si>
    <t>TA to single Opp</t>
  </si>
  <si>
    <t>TA to Opp</t>
  </si>
  <si>
    <t>Event Lead to Opp</t>
  </si>
  <si>
    <t>CFQ open days</t>
  </si>
  <si>
    <t>CFQ remaining open days</t>
  </si>
  <si>
    <t>*</t>
  </si>
  <si>
    <t>per rep</t>
  </si>
  <si>
    <t>CFY open days</t>
  </si>
  <si>
    <t>**</t>
  </si>
  <si>
    <t>No SDR action required</t>
  </si>
  <si>
    <t>CFY remaining open days</t>
  </si>
  <si>
    <t>CFY remaining weeks</t>
  </si>
  <si>
    <t>CFY remaining months</t>
  </si>
  <si>
    <t>Q1</t>
  </si>
  <si>
    <t>Q2</t>
  </si>
  <si>
    <t>Q3</t>
  </si>
  <si>
    <t>Q4</t>
  </si>
  <si>
    <t>Portfolio value target for AD only</t>
  </si>
  <si>
    <t>Portfolio value achieved or expected for AD only</t>
  </si>
  <si>
    <t>Churn Pipeline for AD only</t>
  </si>
  <si>
    <t>Churn Factored for AD only</t>
  </si>
  <si>
    <t>Target gross booking</t>
  </si>
  <si>
    <t>Gross Pipeline</t>
  </si>
  <si>
    <t>Factored Pipeline</t>
  </si>
  <si>
    <t>Maturity 1 Pipeline</t>
  </si>
  <si>
    <t>Maturity 2 Pipeline</t>
  </si>
  <si>
    <t>Do's and Don'ts Pipeline including Bets</t>
  </si>
  <si>
    <t>Weighted Pipeline calculation</t>
  </si>
  <si>
    <t>Gap between Weighted Pipeline and Goal per quarter</t>
  </si>
  <si>
    <t>Gap between Weighted Pipeline and Goal for Current Fiscal Year</t>
  </si>
  <si>
    <t>Pipeline to build for Current Fiscal Year</t>
  </si>
  <si>
    <t>Monthly pipeline effort</t>
  </si>
  <si>
    <t>Takes into account the average deal age</t>
  </si>
  <si>
    <t>Weekly pipeline effort</t>
  </si>
  <si>
    <t>Daily pipeline effort</t>
  </si>
  <si>
    <t>Monthly pipeline effort Distribution</t>
  </si>
  <si>
    <t>Number of remaining weeks</t>
  </si>
  <si>
    <t>Monthly Pipeline effort by source</t>
  </si>
  <si>
    <t>Me</t>
  </si>
  <si>
    <t>SDR</t>
  </si>
  <si>
    <t>Other ( CS, EM, Partner)</t>
  </si>
  <si>
    <t>Monthly Number of opportunities to find</t>
  </si>
  <si>
    <t>Monthly Number of opportunities to find by source</t>
  </si>
  <si>
    <t>Customer Success and engagement manager</t>
  </si>
  <si>
    <t>Me as CEO of my franchise</t>
  </si>
  <si>
    <t>Target Accounts sessions</t>
  </si>
  <si>
    <t>Target Accounts emails</t>
  </si>
  <si>
    <t>Target Accounts calls</t>
  </si>
  <si>
    <t>Target Accounts meetings</t>
  </si>
  <si>
    <t>Total Number of meetings including SDR sourced</t>
  </si>
  <si>
    <t>Total Number of calls including CS sourced</t>
  </si>
  <si>
    <t>My SDR actions</t>
  </si>
  <si>
    <t>Simplified Target Accounts sessions</t>
  </si>
  <si>
    <t>Target Accounts meetings  to be attended by Me</t>
  </si>
  <si>
    <t>Total SDR calls</t>
  </si>
  <si>
    <t>My Marketing Team actions</t>
  </si>
  <si>
    <t>Events planned</t>
  </si>
  <si>
    <t>Events leads</t>
  </si>
  <si>
    <t>Inbound leads</t>
  </si>
  <si>
    <t>Expected Opps</t>
  </si>
  <si>
    <t>Gap to # Opps marketing goal</t>
  </si>
  <si>
    <t>Event to plan</t>
  </si>
  <si>
    <t>SDR calls required</t>
  </si>
  <si>
    <t>Meetings required</t>
  </si>
  <si>
    <t>My Customer Success Teams actions</t>
  </si>
  <si>
    <t># Expected inbound leads from customers</t>
  </si>
  <si>
    <t>Inbound calls</t>
  </si>
  <si>
    <t># Expected opportunities</t>
  </si>
  <si>
    <t>Gap to # Opps CS goal</t>
  </si>
  <si>
    <t>Lead generation simple quota and capacity planning</t>
  </si>
  <si>
    <t>Cells to fill</t>
  </si>
  <si>
    <t>Cells calculated</t>
  </si>
  <si>
    <t>Input</t>
  </si>
  <si>
    <t>Annual quota</t>
  </si>
  <si>
    <t>Enter your annual quota or revenue goal</t>
  </si>
  <si>
    <t>Enter your average deal size</t>
  </si>
  <si>
    <t>Win rate</t>
  </si>
  <si>
    <t>Enter your win rate from your win/loss analysis - 25 to 33% is the average ratio for tech companies</t>
  </si>
  <si>
    <t>Deal age</t>
  </si>
  <si>
    <t>Enter the length of  your deals from the first stage of your sales cycle to closing - Remove exceptions that may skew your numbers</t>
  </si>
  <si>
    <t>Marketing leads</t>
  </si>
  <si>
    <t>Enter the percentage of leads generated by marketing - adjust if needed depending on the history and marketing resources - 30% is a good ratio</t>
  </si>
  <si>
    <t>Number of deals required</t>
  </si>
  <si>
    <t>Number of Opps required</t>
  </si>
  <si>
    <t>Outbound prospecting Capacity Planning</t>
  </si>
  <si>
    <t xml:space="preserve">Dials </t>
  </si>
  <si>
    <t>Enter the number of SDR calls to generate one opportunity - 100 is a reasonable benchmark</t>
  </si>
  <si>
    <t>Dials per SDR per day</t>
  </si>
  <si>
    <t>Enter your target of SDR dials per day - 50 is a reasonable target</t>
  </si>
  <si>
    <t>SDR opportunities required</t>
  </si>
  <si>
    <t>Dials required</t>
  </si>
  <si>
    <t>SDRs Days required</t>
  </si>
  <si>
    <t>Working days in year</t>
  </si>
  <si>
    <t>SDRs Needed</t>
  </si>
  <si>
    <t>Marketing Inbound Capacity Planning</t>
  </si>
  <si>
    <t>Leads converted into Opps</t>
  </si>
  <si>
    <t>Enter the number from your pipeline history analysis - 5 to 15 is a reasonable range</t>
  </si>
  <si>
    <t>Marketing dials per days</t>
  </si>
  <si>
    <t>Enter the number of calls SRDs or MDRs are required to make per day - Keep it around 50 plus or minus 20%</t>
  </si>
  <si>
    <t>Marketing Opps required</t>
  </si>
  <si>
    <t>Marketing leads required</t>
  </si>
  <si>
    <t>MQRs needed</t>
  </si>
  <si>
    <t>Inside Sales Capacity Planning</t>
  </si>
  <si>
    <t>Open opportunities per ISR</t>
  </si>
  <si>
    <t>Per quarter - Adjust the number against your pipeline history - 30 is a reasonable number for transactional business with ADS around 20K</t>
  </si>
  <si>
    <t>Opps per ISR per year</t>
  </si>
  <si>
    <t>ISRs needed</t>
  </si>
  <si>
    <t>Budget Planning</t>
  </si>
  <si>
    <t>SDR cost</t>
  </si>
  <si>
    <t>Enter your total cost for SDR including compensation, bonuses and labor charges</t>
  </si>
  <si>
    <t>MQR cost</t>
  </si>
  <si>
    <t>Enter your total cost for MDR including compensation, bonuses and labor charges</t>
  </si>
  <si>
    <t>Marketing cost per lead</t>
  </si>
  <si>
    <t>The range is between 20 and 50 - Feel free to complete a TCO calculation of your marketing resources, spending and dive by the number of leads</t>
  </si>
  <si>
    <t>ISR Total Comp</t>
  </si>
  <si>
    <t>Enter your total cost for ISR including compensation, bonuses and labor charges</t>
  </si>
  <si>
    <t>Burden rate</t>
  </si>
  <si>
    <t>% of total comp including T&amp;E, communications, office square meters); 30% is a reasonable ration</t>
  </si>
  <si>
    <t>Total ISR cost</t>
  </si>
  <si>
    <t>Marketing Lead cost</t>
  </si>
  <si>
    <t>Total Cost</t>
  </si>
  <si>
    <t>Key Results</t>
  </si>
  <si>
    <t>ISR quota per month</t>
  </si>
  <si>
    <t>Deals per ISR per month</t>
  </si>
  <si>
    <t>Opps per SDR per month</t>
  </si>
  <si>
    <t>Marketing leads per month</t>
  </si>
  <si>
    <t>Marketing Opps per month</t>
  </si>
  <si>
    <t>Cost of revenue</t>
  </si>
  <si>
    <t>Customer acquisition cost</t>
  </si>
  <si>
    <t>The idea:</t>
  </si>
  <si>
    <t>Most companies gauge reps performance according to the number of units sold or revenue generated</t>
  </si>
  <si>
    <t>Advanced organizations have worked out a complete assessment of reps performance beyond numbers</t>
  </si>
  <si>
    <t>It includes :</t>
  </si>
  <si>
    <t>achievement</t>
  </si>
  <si>
    <t>behavior</t>
  </si>
  <si>
    <t>skills</t>
  </si>
  <si>
    <t>attitudes</t>
  </si>
  <si>
    <t>activities</t>
  </si>
  <si>
    <t>However, few organizations have ever applied to reps what is commonly leveraged to estimate investment value: ROI</t>
  </si>
  <si>
    <t>To do this, companies must take into account the multiyear contract value and the TCO approach that prevails in finance when it comes to measure assets performance</t>
  </si>
  <si>
    <t>The Sales value takes into account :</t>
  </si>
  <si>
    <t>3 years reps' performance</t>
  </si>
  <si>
    <t>3 years COGS which the cost of sales and general expenses, including income</t>
  </si>
  <si>
    <t>Sales</t>
  </si>
  <si>
    <t>Discounts</t>
  </si>
  <si>
    <t>Net sales or positive cash flow</t>
  </si>
  <si>
    <t>Based salary</t>
  </si>
  <si>
    <t>Commissions</t>
  </si>
  <si>
    <t>Bonuses</t>
  </si>
  <si>
    <t>Incentives</t>
  </si>
  <si>
    <t>Marketing cost allocation</t>
  </si>
  <si>
    <t>Presales resources</t>
  </si>
  <si>
    <t>Cost of training</t>
  </si>
  <si>
    <t>Cost of development</t>
  </si>
  <si>
    <t>Negative cash flows</t>
  </si>
  <si>
    <t>Net cash flow</t>
  </si>
  <si>
    <t xml:space="preserve">(1) Sales should take into account multiyear contract starting till year 5. </t>
  </si>
  <si>
    <t>(2) Cost of training is the total cost of training divide by the number of reps</t>
  </si>
  <si>
    <t>(3) Cost of development is specific education programs such as high potential or executive programs</t>
  </si>
  <si>
    <t>Start from top executives metrics definition and prioritize which of them to your organization.</t>
  </si>
  <si>
    <t>Unless your are in a volume business, stay clear off leading, leaning and lagging indicators.</t>
  </si>
  <si>
    <t>Think about metrics as a well oiled wheel that delivers revenue</t>
  </si>
  <si>
    <t>Business</t>
  </si>
  <si>
    <t>Will you deliver on your revenue plan?</t>
  </si>
  <si>
    <t>Are territories balanced and optimized?</t>
  </si>
  <si>
    <t>Which teams are most effective?</t>
  </si>
  <si>
    <t>Territory</t>
  </si>
  <si>
    <t>Are you selling big or just seeding?</t>
  </si>
  <si>
    <t>Deals</t>
  </si>
  <si>
    <t>Accounts</t>
  </si>
  <si>
    <t>Do you know your territory potential?</t>
  </si>
  <si>
    <t>Do you know how much pipeline you need to build?</t>
  </si>
  <si>
    <t>Do you know how much you can make from installed base?</t>
  </si>
  <si>
    <t>Are your opportunities real?</t>
  </si>
  <si>
    <t>Do you stick to a sales process?</t>
  </si>
  <si>
    <t>Whare should you allocate resources?</t>
  </si>
  <si>
    <t>Are you chasing the right accounts?</t>
  </si>
  <si>
    <t>How do you score your accounts?</t>
  </si>
  <si>
    <t>How do you calculate your weight space?</t>
  </si>
  <si>
    <t>Why and how much do you win or lose?</t>
  </si>
  <si>
    <t>List what matters and beware of best practices.</t>
  </si>
  <si>
    <t>Do you know the split between new business, cross-sell and upsell?</t>
  </si>
  <si>
    <t>Do you know your customer?</t>
  </si>
  <si>
    <t>For further information, please review our article on Bold &amp; Sharp Website:</t>
  </si>
  <si>
    <t>Who is your most valuable Sales leader?</t>
  </si>
  <si>
    <t>Let's do the maths</t>
  </si>
  <si>
    <t>Hence the focus of customer centric companies on customer satisfaction and portfolio value.</t>
  </si>
  <si>
    <t>Your most valuable sales rep</t>
  </si>
  <si>
    <t>Your most valuable sales leader</t>
  </si>
  <si>
    <t>Calculating the value of your customer base</t>
  </si>
  <si>
    <t>The value of a firm's customer base in the sum of the value of existing and future customers.</t>
  </si>
  <si>
    <t>Average revenue per customer</t>
  </si>
  <si>
    <t>Customer expected lifetime value</t>
  </si>
  <si>
    <t>Going beyond sales ratios</t>
  </si>
  <si>
    <t>No need to come back on revenue, right?</t>
  </si>
  <si>
    <t>Net income</t>
  </si>
  <si>
    <t>=</t>
  </si>
  <si>
    <t>-</t>
  </si>
  <si>
    <t>General expenses</t>
  </si>
  <si>
    <t>Investment</t>
  </si>
  <si>
    <t>Amortization and depreciation</t>
  </si>
  <si>
    <t>Taxes</t>
  </si>
  <si>
    <t>Bonus distribution</t>
  </si>
  <si>
    <t>Do nothing</t>
  </si>
  <si>
    <t>Currents assets</t>
  </si>
  <si>
    <t>Cash</t>
  </si>
  <si>
    <t>+</t>
  </si>
  <si>
    <t>Short term investment</t>
  </si>
  <si>
    <t>Inventories</t>
  </si>
  <si>
    <t>Total Assets</t>
  </si>
  <si>
    <t>Current assets</t>
  </si>
  <si>
    <t>Plant, property, equipment</t>
  </si>
  <si>
    <t>Intangible assets</t>
  </si>
  <si>
    <t>Long term investments</t>
  </si>
  <si>
    <t>Other non current assets</t>
  </si>
  <si>
    <t>Current liabilities</t>
  </si>
  <si>
    <t>Accounts receivable</t>
  </si>
  <si>
    <t>Accounts payable</t>
  </si>
  <si>
    <t>Portion of debt</t>
  </si>
  <si>
    <t>Total liabilities</t>
  </si>
  <si>
    <t>Long term debt</t>
  </si>
  <si>
    <t>Shareholder's equity</t>
  </si>
  <si>
    <t>Equity</t>
  </si>
  <si>
    <t>EBIT</t>
  </si>
  <si>
    <t>Before interest expense and taxes</t>
  </si>
  <si>
    <t>Other long term liabilities</t>
  </si>
  <si>
    <t>Total labilities</t>
  </si>
  <si>
    <t>Along with assumptions and projections about future competitive and regulatory environments, investors now incorporate customer value in their valuation model.</t>
  </si>
  <si>
    <t>Variable costs per customer type</t>
  </si>
  <si>
    <t>So, before you start challenging your CFO on the company numbers, let's review the basic principles of accounting and financial ratios.</t>
  </si>
  <si>
    <t>Net income is the trigger of decisions such as:</t>
  </si>
  <si>
    <t>Dividend distribution</t>
  </si>
  <si>
    <t>Average IR Paid</t>
  </si>
  <si>
    <t>Interest expenses</t>
  </si>
  <si>
    <t>Measures your company's liquidity or ability to pay off short-term debts.</t>
  </si>
  <si>
    <t>What you must pay generally within one year.</t>
  </si>
  <si>
    <t>Current Ratio</t>
  </si>
  <si>
    <t>Cash Flow</t>
  </si>
  <si>
    <t>Depreciation and amortization</t>
  </si>
  <si>
    <t>Investments</t>
  </si>
  <si>
    <t>÷</t>
  </si>
  <si>
    <t>Return on Equity</t>
  </si>
  <si>
    <t>x</t>
  </si>
  <si>
    <t>Asset Turnover</t>
  </si>
  <si>
    <t>Return on Assets</t>
  </si>
  <si>
    <t>Return on operating asset</t>
  </si>
  <si>
    <t>Operating income</t>
  </si>
  <si>
    <t>Operating Assets</t>
  </si>
  <si>
    <t>where revenue equals net sales + investment income</t>
  </si>
  <si>
    <t>Shareholders Equity</t>
  </si>
  <si>
    <t>Shareholder Equity</t>
  </si>
  <si>
    <t>Financial Assets</t>
  </si>
  <si>
    <t>Short term financial investments</t>
  </si>
  <si>
    <t>Long term financial investment</t>
  </si>
  <si>
    <t>Cash and cash equivalent</t>
  </si>
  <si>
    <t>Prepaid expenses</t>
  </si>
  <si>
    <t>Other current and on current assets</t>
  </si>
  <si>
    <t>Value of inventory</t>
  </si>
  <si>
    <t xml:space="preserve">Profit margin </t>
  </si>
  <si>
    <t xml:space="preserve">Operating margin </t>
  </si>
  <si>
    <t>Net revenue</t>
  </si>
  <si>
    <t>Net income after taxes</t>
  </si>
  <si>
    <t>Assets Turnover</t>
  </si>
  <si>
    <t>Operating Assets Turnover</t>
  </si>
  <si>
    <t>Net Sales</t>
  </si>
  <si>
    <t>Average Total Assets</t>
  </si>
  <si>
    <t>where Average Total Assets = (Total Assets at the Beginning of the Period + Total Assets at the End of the Period) / 2</t>
  </si>
  <si>
    <t>where Average Operating Assets = (Total Operating Assets at the Beginning of the Period + Total Operating Assets at the End of the Period) / 2</t>
  </si>
  <si>
    <t>Measure how well your company is generating earnings from its core operational assets, i.e. directly related to its primary business activities.</t>
  </si>
  <si>
    <t>Equity Multiplier</t>
  </si>
  <si>
    <t xml:space="preserve">Measures how much your company's total assets are funded through shareholders' equity. </t>
  </si>
  <si>
    <t>Measures your company's profitability and efficiency in generating earnings from shareholders' equity.</t>
  </si>
  <si>
    <t>Profit Margin</t>
  </si>
  <si>
    <t>Measures your company's profitability and ability to convert sales into profits.</t>
  </si>
  <si>
    <t>Measures your company's efficiency in using its total assets to generate sales revenue.</t>
  </si>
  <si>
    <t xml:space="preserve">Measures profit your company generates from its core operational activities. </t>
  </si>
  <si>
    <t>Equity multiplier</t>
  </si>
  <si>
    <t>Measures how efficiently your company utilizes its total assets to generate revenue. Assets include property, equipment, inventory, and AR.</t>
  </si>
  <si>
    <t>Average Operating Assets</t>
  </si>
  <si>
    <t>Measures how efficiently your company utilizes its operating assets to generate revenue. Operating Assets are property, plant, or equipment.</t>
  </si>
  <si>
    <t xml:space="preserve">Measures your company's profitability by focusing on its operating performance. </t>
  </si>
  <si>
    <t>EBITDA excludes specific expenses that can vary due to factors like accounting methods, financing structure, and tax regulations.</t>
  </si>
  <si>
    <t>Measures your company's liquidity, financial health, and its ability to meet its short-term and long-term financial obligations.</t>
  </si>
  <si>
    <t>Others such as prepaid expenses</t>
  </si>
  <si>
    <t>Assets that can be converted into cash or used up within one year or one operating cycle. Snapshot of short-term liquidity.</t>
  </si>
  <si>
    <t>Used to assess the overall size and value of a company.</t>
  </si>
  <si>
    <t>Measures the total amount of your company's financial obligations and debts that it owes to creditors, suppliers, lenders, and other parties.</t>
  </si>
  <si>
    <t>Measures the owners' residual interest in the company's assets, and reflects the value attributable to the shareholders</t>
  </si>
  <si>
    <t>Subset of your company's total assets that are used in its core operating activities to generate revenue.</t>
  </si>
  <si>
    <t>Category of assets that have economic value and represent a legally enforceable claim to a future cash flow or some other financial benefit.</t>
  </si>
  <si>
    <t>Measures your company ability to manage its debt load and the impact of interest expenses on financial stability.</t>
  </si>
  <si>
    <t xml:space="preserve">Encompass everything of value owned by your company, both tangible and intangible, either current or non-current assets. </t>
  </si>
  <si>
    <t>Include AR, inventory, property, plant, equipment, intangible assets and prepaid expesnes.*</t>
  </si>
  <si>
    <t>So far so good? So let's move to the ration you MUST know if your commissions and bonuses go well beyond revenue growth.</t>
  </si>
  <si>
    <t>Method</t>
  </si>
  <si>
    <t>Answer the question...</t>
  </si>
  <si>
    <t>Expressed in</t>
  </si>
  <si>
    <t>Typically used for</t>
  </si>
  <si>
    <t>Break even</t>
  </si>
  <si>
    <t>How many sales do we need to recoup the investment</t>
  </si>
  <si>
    <t>Units sold</t>
  </si>
  <si>
    <t>Market focused projects such as product development or entrepreneurial endeavors</t>
  </si>
  <si>
    <t>Payback</t>
  </si>
  <si>
    <t>How long will it take to recoup the investment</t>
  </si>
  <si>
    <t>Months or years</t>
  </si>
  <si>
    <t>Projects with a heavy upfront investment, such as facilities projects, or productivity projects that accumulate benefits over time</t>
  </si>
  <si>
    <t>NPV</t>
  </si>
  <si>
    <t>How much is the project worth to the business</t>
  </si>
  <si>
    <t>Money</t>
  </si>
  <si>
    <t>Project with large expenditures</t>
  </si>
  <si>
    <t>IRR</t>
  </si>
  <si>
    <t>What rate of return will the project deliver over its life cycle</t>
  </si>
  <si>
    <t>Percentage</t>
  </si>
  <si>
    <t>Project that the company reports externally, namely those that require you to borrow money</t>
  </si>
  <si>
    <t>No one size fits all</t>
  </si>
  <si>
    <t>Selling to the CFO</t>
  </si>
  <si>
    <t xml:space="preserve">If your sales force consists of senior reps who are used to talking to CFOs, you can skip this section or leverage our article as a reminder: </t>
  </si>
  <si>
    <t>There are several ways to express and measure value.</t>
  </si>
  <si>
    <t>When sales reps speak about value, they carefully leverage the tools and sales pitches provided by sales operations and marketing.</t>
  </si>
  <si>
    <t>The number one mistake we see when reps try to steer the conversation to financial measures is the confusion between ROI and payback.</t>
  </si>
  <si>
    <t>If your offer or services account for a significant investment that will be taken to the CFO for approval, please make sure:</t>
  </si>
  <si>
    <t>You collect the right data to agree with your customers on the costs and benefits of your solution</t>
  </si>
  <si>
    <t>You align with your customer on the way they quantify the value of their investment</t>
  </si>
  <si>
    <t>However, If your sells reps confuse ROI for payback or struggle to drive conversations with tangible and proven metrics, this section is for you.</t>
  </si>
  <si>
    <t>Crush the numbers</t>
  </si>
  <si>
    <t>to be as exhaustive as possible</t>
  </si>
  <si>
    <t>to get your approach fingerprinted</t>
  </si>
  <si>
    <t>The point is :</t>
  </si>
  <si>
    <t>Rationale</t>
  </si>
  <si>
    <t>Capital</t>
  </si>
  <si>
    <t>Year 4</t>
  </si>
  <si>
    <t>Year 5</t>
  </si>
  <si>
    <t>Year 6</t>
  </si>
  <si>
    <t>Year 7</t>
  </si>
  <si>
    <t>Year 8</t>
  </si>
  <si>
    <t>Year 9</t>
  </si>
  <si>
    <t>Year 10</t>
  </si>
  <si>
    <t>Category 1</t>
  </si>
  <si>
    <t>Category 2</t>
  </si>
  <si>
    <t>Total capital</t>
  </si>
  <si>
    <t>One time expenses</t>
  </si>
  <si>
    <t>Total expenses</t>
  </si>
  <si>
    <t>TOTAL INVESTMENT</t>
  </si>
  <si>
    <t>Operating costs</t>
  </si>
  <si>
    <t>Total costs</t>
  </si>
  <si>
    <t>Benefits</t>
  </si>
  <si>
    <t>Incremental sales</t>
  </si>
  <si>
    <t>Infrastructure</t>
  </si>
  <si>
    <t>Personnel</t>
  </si>
  <si>
    <t>Operating impact</t>
  </si>
  <si>
    <t>Other benefits</t>
  </si>
  <si>
    <t>TOTAL BENEFITS</t>
  </si>
  <si>
    <t>Annual Total</t>
  </si>
  <si>
    <t>Cumulative total</t>
  </si>
  <si>
    <t>Revenue - cost of sales</t>
  </si>
  <si>
    <t>Net project cost</t>
  </si>
  <si>
    <t>Break even # units</t>
  </si>
  <si>
    <t>Net project cost/gross margin</t>
  </si>
  <si>
    <t>NA</t>
  </si>
  <si>
    <t>Analysis</t>
  </si>
  <si>
    <t>Similar to project XYZ</t>
  </si>
  <si>
    <t>Development</t>
  </si>
  <si>
    <t>Testing</t>
  </si>
  <si>
    <t>See compliance matrix</t>
  </si>
  <si>
    <t>Industrialization</t>
  </si>
  <si>
    <t>Sales increase</t>
  </si>
  <si>
    <t>Unit price</t>
  </si>
  <si>
    <t>Margin</t>
  </si>
  <si>
    <t>Support cost reduction</t>
  </si>
  <si>
    <t xml:space="preserve">Type 0 payback: </t>
  </si>
  <si>
    <t>year</t>
  </si>
  <si>
    <t>Project</t>
  </si>
  <si>
    <t>Type 1 payback</t>
  </si>
  <si>
    <t>ROI equals</t>
  </si>
  <si>
    <t>Net benefit/total cost</t>
  </si>
  <si>
    <t>NPV relies on the principle that of the time value of money</t>
  </si>
  <si>
    <t>One euro today is worth more than one euro in the future</t>
  </si>
  <si>
    <t>It has to be positive</t>
  </si>
  <si>
    <t>The higher, the better</t>
  </si>
  <si>
    <t>This is the sum of present value of cash flows for each year associated with the project</t>
  </si>
  <si>
    <t>NPV equals</t>
  </si>
  <si>
    <t>Sum of total cash flow over n years/(1+Discount rate)^n</t>
  </si>
  <si>
    <t>Formula</t>
  </si>
  <si>
    <t>Never recommend a project which NPV is less than 25% of the project cost.</t>
  </si>
  <si>
    <t>Cash flow in the first year, either cost or benefit, should NOT be discounted</t>
  </si>
  <si>
    <t>Discounted cash</t>
  </si>
  <si>
    <t>IRR shows a project's investment value.</t>
  </si>
  <si>
    <t>It tells you what rate of return you would get if you decided to invest the same amount of money elsewhere.</t>
  </si>
  <si>
    <t>This is the discount rate for which the NPV equals zero</t>
  </si>
  <si>
    <t>IRR equals</t>
  </si>
  <si>
    <t>0=SUM of cash flows over n years/(1+IRR)^n</t>
  </si>
  <si>
    <t>IRR formula</t>
  </si>
  <si>
    <t>NPV Formula</t>
  </si>
  <si>
    <t>Break even calculation</t>
  </si>
  <si>
    <t>Payback calculation</t>
  </si>
  <si>
    <t>ROI calculation</t>
  </si>
  <si>
    <t>NPV calculation</t>
  </si>
  <si>
    <t>IRR calculation</t>
  </si>
  <si>
    <t>Tells you how many units you need to sell in order to pay for the project.</t>
  </si>
  <si>
    <t>Does not reveal how long it takes to recoup the investment.</t>
  </si>
  <si>
    <t>Determine the gross margin.</t>
  </si>
  <si>
    <t>Start off with a negative cash flow.</t>
  </si>
  <si>
    <t>The payback point occurs when the cumulative cash flow changes from negative to positive.</t>
  </si>
  <si>
    <t>You can start your timing for payback either after you complete the project, when benefits kick in or when the project works begin, to capture the money invested throughout.</t>
  </si>
  <si>
    <t>Payback does not show you what happens after you earned your money back.</t>
  </si>
  <si>
    <t>It has to be positive and the higher the better.</t>
  </si>
  <si>
    <t>The common point between all methods is that they rely on a solid collection of data about costs and benefits.</t>
  </si>
  <si>
    <t>This serves as a starting point of every calculation: if there is no agreement of the total cost and associated benefits of the investment, there is no applying any method.</t>
  </si>
  <si>
    <t>to consider many "what ifs" and adjust your numbers to reflect likely scenarios</t>
  </si>
  <si>
    <t>The template below can help you collect and discuss the data with your customers.</t>
  </si>
  <si>
    <t>The cells in amber are calculated automatically.</t>
  </si>
  <si>
    <t xml:space="preserve">The discount rate is based on two figures, the cost of money [interest rate] and the risk associated with the business not achieving the planned benefits. </t>
  </si>
  <si>
    <t>Both of these figures should be changed to give an overall discount rate.</t>
  </si>
  <si>
    <t xml:space="preserve">The 'cash flows in' are 'soaked in the acid' of both the cost of money + risk, as there is a risk they will not happen. </t>
  </si>
  <si>
    <t xml:space="preserve">Whereas the 'cash flows' out are only soaked in the cost of money: this is because the payments will happen on a contract, there is no risk as such. </t>
  </si>
  <si>
    <t>Risk</t>
  </si>
  <si>
    <t>Cost of money</t>
  </si>
  <si>
    <t>Even if we apply the same discount rate in this example, the discount factor for cash flows in and out are different.</t>
  </si>
  <si>
    <t>So, the ideal formula for NPV calculation is :</t>
  </si>
  <si>
    <t xml:space="preserve">Project Business Justification </t>
  </si>
  <si>
    <t>Rate</t>
  </si>
  <si>
    <t xml:space="preserve">Adjust the risk % to find a </t>
  </si>
  <si>
    <t xml:space="preserve"> &lt;----------</t>
  </si>
  <si>
    <t>Discount factor where NPV = 0</t>
  </si>
  <si>
    <t>Customer</t>
  </si>
  <si>
    <t>Discount Factor = IRR, when NPV = 0</t>
  </si>
  <si>
    <t>Cost of Money</t>
  </si>
  <si>
    <t xml:space="preserve">NPV five years   = </t>
  </si>
  <si>
    <t>This spreadsheet is designed to calculate the quantified business benefits of</t>
  </si>
  <si>
    <t xml:space="preserve">NPV four years   = </t>
  </si>
  <si>
    <t>Discount Rate</t>
  </si>
  <si>
    <t xml:space="preserve">NPV three years = </t>
  </si>
  <si>
    <t>Cash Flow Workspace</t>
  </si>
  <si>
    <t>Cash Flow In</t>
  </si>
  <si>
    <t>Year 0</t>
  </si>
  <si>
    <t>Description</t>
  </si>
  <si>
    <t>Value</t>
  </si>
  <si>
    <t>Total Cash Flow In</t>
  </si>
  <si>
    <t>Discount Factor</t>
  </si>
  <si>
    <t>Discounted Cash flow</t>
  </si>
  <si>
    <t>Cash Flow Out</t>
  </si>
  <si>
    <t>Total Cash Flow Out</t>
  </si>
  <si>
    <t>Net DCF</t>
  </si>
  <si>
    <t>NPV for five years</t>
  </si>
  <si>
    <t>NPV for four years</t>
  </si>
  <si>
    <t>NPV for three years</t>
  </si>
  <si>
    <t xml:space="preserve"> $k</t>
  </si>
  <si>
    <t>Redundancy costs</t>
  </si>
  <si>
    <t>solution can be estimated. Figure are in thousands.</t>
  </si>
  <si>
    <t>Please input in dark blue cells only</t>
  </si>
  <si>
    <t>Year 11/TV</t>
  </si>
  <si>
    <t>% growth</t>
  </si>
  <si>
    <t>Time Period 0 Revenue</t>
  </si>
  <si>
    <t>COGS</t>
  </si>
  <si>
    <t>Gross Profit</t>
  </si>
  <si>
    <t>Ten-Year Growth Rate</t>
  </si>
  <si>
    <t>Operating Expense</t>
  </si>
  <si>
    <t>Cost of Goods Sold as a % of Revenue</t>
  </si>
  <si>
    <t>Operating Expense as a % of Revenue</t>
  </si>
  <si>
    <t>% margin</t>
  </si>
  <si>
    <t>Perpetuity Growth Rate (after year 10)</t>
  </si>
  <si>
    <t>Tax Rate</t>
  </si>
  <si>
    <t>NOPAT</t>
  </si>
  <si>
    <t>WCIR</t>
  </si>
  <si>
    <t>Plus: D&amp;A</t>
  </si>
  <si>
    <t>Less: Change in WC</t>
  </si>
  <si>
    <t>Capital Expenditures Year</t>
  </si>
  <si>
    <t>Free Cash Flow</t>
  </si>
  <si>
    <t>Terminal Value</t>
  </si>
  <si>
    <t>Net Cash Flow Projected</t>
  </si>
  <si>
    <t>PV of Cash Flows</t>
  </si>
  <si>
    <t>Business Value "PV of Cash Flows"</t>
  </si>
  <si>
    <t>EBIT = Earnings Before Interest and Taxes</t>
  </si>
  <si>
    <t>NOPAT = Net Operating Profit After Tax</t>
  </si>
  <si>
    <t>PV = Present Value</t>
  </si>
  <si>
    <t>TV = Terminal Value</t>
  </si>
  <si>
    <t>Assumptions (S Millions)</t>
  </si>
  <si>
    <t>Marketing Automation</t>
  </si>
  <si>
    <t>Financial measures that matter from EBIT to cash flow, from assets to liabilities and equity.</t>
  </si>
  <si>
    <t>Financial ratios that count from asset turnover to equity multiplier and return on operating assets.</t>
  </si>
  <si>
    <t>The more you climb the corporate ladder, the more likely you are to review metrics that you may not be familiar with as a sales leader.</t>
  </si>
  <si>
    <t>That section covers:</t>
  </si>
  <si>
    <t>Before you start challenging your CFO on the company numbers, let's review the basic principles of accounting and financial ratios to know for you to shine in leadership and board meetings.</t>
  </si>
  <si>
    <t>The calculation is described in the chart below. It relies on:</t>
  </si>
  <si>
    <t>From website calculators to well crafted sales messaging, the value delivered is generally properly addressed by our clients as a key milestone of the sales process.</t>
  </si>
  <si>
    <t xml:space="preserve"> Sum of discounted cash flow in - Sum of discounted cash flow out.</t>
  </si>
  <si>
    <t>ACME</t>
  </si>
  <si>
    <t>In this section, we are sharing a template created for one of our clients.</t>
  </si>
  <si>
    <t>It is neither perfect, nor exhaustive. However, this is a good starting point for you to:</t>
  </si>
  <si>
    <t>leverage in your presales and sales process as a key component of the customer education and enablement phase.</t>
  </si>
  <si>
    <t>leverage to create a value calculator on your website for your customer to play with before reaching out to you.</t>
  </si>
  <si>
    <t xml:space="preserve">to a client. Based on the parameters input the payback period, NPV and IRR for a </t>
  </si>
  <si>
    <t>Return savings</t>
  </si>
  <si>
    <t>Conversion improvement</t>
  </si>
  <si>
    <t>Cross selling</t>
  </si>
  <si>
    <t>Initial set up cost</t>
  </si>
  <si>
    <t>Marketing core Stack</t>
  </si>
  <si>
    <t>ABM optional stack</t>
  </si>
  <si>
    <t>Set up</t>
  </si>
  <si>
    <t>Software Subscription</t>
  </si>
  <si>
    <t>Fiscal year customization and fine tuning</t>
  </si>
  <si>
    <t>Project management</t>
  </si>
  <si>
    <t>Professional services</t>
  </si>
  <si>
    <t>FTE savings</t>
  </si>
  <si>
    <t>Average number of FTE savings</t>
  </si>
  <si>
    <t>Total savings</t>
  </si>
  <si>
    <t>Month of the year savings will be achieved</t>
  </si>
  <si>
    <t># Current employees level 1</t>
  </si>
  <si>
    <t xml:space="preserve">Average cost of FTE Level 2 </t>
  </si>
  <si>
    <t>Productivity increase</t>
  </si>
  <si>
    <t>Level 1 savings</t>
  </si>
  <si>
    <t>Level 2 savings</t>
  </si>
  <si>
    <t>Change management</t>
  </si>
  <si>
    <t>Average cost of FTE</t>
  </si>
  <si>
    <t>Marketing Workforce savings</t>
  </si>
  <si>
    <t>Technology stack savings</t>
  </si>
  <si>
    <t>Current technology stack annual cost</t>
  </si>
  <si>
    <t>Projected investment</t>
  </si>
  <si>
    <t>Average cost of FTE dedicated to current technology stack</t>
  </si>
  <si>
    <t>Projected # of FTE savings</t>
  </si>
  <si>
    <t>Tech savings</t>
  </si>
  <si>
    <t>Tech FTE savings</t>
  </si>
  <si>
    <t>Annual cost of returns</t>
  </si>
  <si>
    <t>Average decrease of returns</t>
  </si>
  <si>
    <t>Expected savings</t>
  </si>
  <si>
    <t>Return FTE savings</t>
  </si>
  <si>
    <t>Average # of transactions per year</t>
  </si>
  <si>
    <t>New business Average deal size</t>
  </si>
  <si>
    <t>Current conversion rate</t>
  </si>
  <si>
    <t>Acknowledged conversion improvement</t>
  </si>
  <si>
    <t>Conversion increase</t>
  </si>
  <si>
    <t>Expected saving</t>
  </si>
  <si>
    <t>Conversion</t>
  </si>
  <si>
    <t>Sales FTE savings</t>
  </si>
  <si>
    <t>Cross sell &amp; Up sell Average deal size</t>
  </si>
  <si>
    <t>Sum of total income of FTE saved</t>
  </si>
  <si>
    <t>Estimated number of months granted</t>
  </si>
  <si>
    <t>Average cost of FTE Return department employees</t>
  </si>
  <si>
    <t>Average cost of FTE sales department employees</t>
  </si>
  <si>
    <t>Some of estimated costs</t>
  </si>
  <si>
    <t>Projected % of FTE savings</t>
  </si>
  <si>
    <t>Current number of sales department employees</t>
  </si>
  <si>
    <t>Managed services</t>
  </si>
  <si>
    <t>Cross selling increase</t>
  </si>
  <si>
    <t>Current number of Return department employees</t>
  </si>
  <si>
    <t>Less: Capital expenditure</t>
  </si>
  <si>
    <t>Now you are going to acquire a business</t>
  </si>
  <si>
    <t>Discounted Cash Flow Analysis Answer</t>
  </si>
  <si>
    <t>Discounted Cash Flow Analysis challenge</t>
  </si>
  <si>
    <t>Projected Depreciation/Amortization Year</t>
  </si>
  <si>
    <t>WCIE = Working Capital Investment Ratio - the required amount of additional
investment in working capital for every additional
dollar of revenue.</t>
  </si>
  <si>
    <t>While this approach may be a good fit for junior resp and transactional business, senior reps are unlikely to embrace this kind of management.</t>
  </si>
  <si>
    <t>Sales leaders must also dig deeper and analyze activity efficiency ratios, pipeline trends, average deals size and duration, pipeline progression and conversion by sources, etc...</t>
  </si>
  <si>
    <r>
      <rPr>
        <b/>
        <sz val="10"/>
        <color theme="1"/>
        <rFont val="Arial"/>
        <family val="2"/>
      </rPr>
      <t>The activity efficiency ratio</t>
    </r>
    <r>
      <rPr>
        <sz val="10"/>
        <color theme="1"/>
        <rFont val="Arial"/>
        <family val="2"/>
      </rPr>
      <t xml:space="preserve"> does not focus on numbers but on conversion of activities to remarkable events</t>
    </r>
    <r>
      <rPr>
        <sz val="10"/>
        <color theme="1"/>
        <rFont val="Arial"/>
        <family val="2"/>
        <scheme val="minor"/>
      </rPr>
      <t>.</t>
    </r>
  </si>
  <si>
    <t>Number of Activities: as far as you are a "leading, leaning, lagging" indicator believer and that your business is a fit for this approach.</t>
  </si>
  <si>
    <t>Activity Efficiency Ratios: as far as quality is your main concern over quantity.</t>
  </si>
  <si>
    <t>This is supposed to tell you if your reps take the required steps to achieve the numbers.</t>
  </si>
  <si>
    <t>This applies mainly to volume business and transactional sales.</t>
  </si>
  <si>
    <t>However, a correlation can be investigated for senior reps and massive deals too.</t>
  </si>
  <si>
    <t>The prerequisite however is the type of activities that must be identified as the leading one.</t>
  </si>
  <si>
    <t>Activities results vs goals, whether your goals are fair or not, is the best way to establish a culture of performance.</t>
  </si>
  <si>
    <t>Pipeline Inflow/Outflow</t>
  </si>
  <si>
    <t>This of course should be customized by criteria such as :</t>
  </si>
  <si>
    <t>Are we building the pipeline to hit our numbers?</t>
  </si>
  <si>
    <t>How are we doing against our historical data for the same period taking into account our new targets?</t>
  </si>
  <si>
    <t>This is the value of opportunities - closed, open or both - in your pipeline over time, broken down by stage.</t>
  </si>
  <si>
    <t>Simple and straightforward: this is the number of opportunities your resp have in their pipeline by stage.</t>
  </si>
  <si>
    <t>To focus on the right ones, review all opportunities below 50% and adjust likelihood or push them to next quarter with a clear next step.</t>
  </si>
  <si>
    <t>Consider the average age spend by opportunities in closing stage.</t>
  </si>
  <si>
    <t>If the number of days remaining for closing is below the sum of average for each remaining stage, then take action or be conservative.</t>
  </si>
  <si>
    <t>While there can be valid reasons, it is usually not a good sign of the your reps command of the business or assertiveness.</t>
  </si>
  <si>
    <t>It can be either expected value or close date.</t>
  </si>
  <si>
    <t>It indicates variation on the "when" and the "what"; either a misalignment with the customer of the project deadlines or hesitations of the set of products and services sold.</t>
  </si>
  <si>
    <t>The variation of percentage indicated where reps need coaching, methodologies messaging or tools to convert to the next stage.</t>
  </si>
  <si>
    <t>It usually covers:</t>
  </si>
  <si>
    <t>You can analyze and factor time spent at qualifying stage in the opportunity likelihood.</t>
  </si>
  <si>
    <t>You can drill down into lingering opportunities.</t>
  </si>
  <si>
    <t>It usually covers win rate by deal size, type of business, industry, products, region, team and individual.</t>
  </si>
  <si>
    <t>This is the number of opportunities newly created vs the numbers of opportunities that have left closed won or lost.</t>
  </si>
  <si>
    <t>This gives the health of lead generation at a specific date of the fiscal period.</t>
  </si>
  <si>
    <t>The point is to understand whether you generate enough pipeline to make the numbers.</t>
  </si>
  <si>
    <t>The point is also to check the number of opportunities generated that close by source.</t>
  </si>
  <si>
    <t>It answers basic questions:</t>
  </si>
  <si>
    <t>The analysis should be completed by reps and by stage.</t>
  </si>
  <si>
    <t>The point is to monitor the average sales cycle for your team but also to identify possible bottlenecks in the sales process and fix them.</t>
  </si>
  <si>
    <t>This covers the number of deals and their value within a specific period.</t>
  </si>
  <si>
    <t>Beyond bookings, the profitability of the customers your serve is key.</t>
  </si>
  <si>
    <t xml:space="preserve">Customer acquisition and service cost: (total lead generation, marketing, professional services, support and sales cost) * n, n being the number of years for COSS calculation </t>
  </si>
  <si>
    <t>So, on top of revenue by customer, two metrics should be added:</t>
  </si>
  <si>
    <t>This is the win rate by rep during a given period.</t>
  </si>
  <si>
    <t>The win and loss analysis should include the same report and be displayed through the same dashboard.</t>
  </si>
  <si>
    <t>At best, the point is to leave a seat vacant for your customers to place them centerstage.</t>
  </si>
  <si>
    <t>The goal of a customer centric strategy is to build long term loyalty that drives profitability.</t>
  </si>
  <si>
    <t>To do this, the first step is to measure customer profitability by comparing revenue to cost to serve them.</t>
  </si>
  <si>
    <t>The second step is to focus on customer lifetime value.</t>
  </si>
  <si>
    <t>While the metrics leveraged to monitor your business may not differ, an absolute focus should be put on the following KPIs:</t>
  </si>
  <si>
    <t>Customer centric selling philosophy is to build long term relationships with customers.</t>
  </si>
  <si>
    <t>In other words, never ever focus on activities: focus on results.</t>
  </si>
  <si>
    <t>This template implies that reps think beyond pipeline gross numbers.</t>
  </si>
  <si>
    <t>The point is not to manage your pipeline strategy in Excel.</t>
  </si>
  <si>
    <t>They need to define their pipeline strategy and to distribute pipeline efforts between channels: themselves, their SDRs, marketing and current customers.</t>
  </si>
  <si>
    <t>So, once you get familiar with the approach, implement it in your CRM reports and dashboards.</t>
  </si>
  <si>
    <t>In this section, we are sharing a template for real time pipeline calculation.</t>
  </si>
  <si>
    <t>These metrics have been observed in high growth B2B SaaS companies which average deal size varies between 15 and 30K.</t>
  </si>
  <si>
    <t>In this section, we present a slightly different approach of basic discounted cash flow valuation.</t>
  </si>
  <si>
    <t>Sales Negotiation Workshop</t>
  </si>
  <si>
    <t>In this example, your job as  sales leader is to evaluate a competitor before acquiring it.</t>
  </si>
  <si>
    <t>Please, feel free to contact us to combine the Bold &amp; Sharp negotiation genius workshop with this exercise.</t>
  </si>
  <si>
    <t>We usually provide a tailored scenario to probe your sales force negotiation skills and understanding of key financial metrics of this workbook.</t>
  </si>
  <si>
    <t xml:space="preserve">For further information on our negotiation workshop, please consult to the following section of the Bold &amp; Sharp website: </t>
  </si>
  <si>
    <t>Unhide cells S to AH to get the answer</t>
  </si>
  <si>
    <t>In this Workbook on Sales KPIs, you will find:</t>
  </si>
  <si>
    <t>The right metrics for sales</t>
  </si>
  <si>
    <t>The KPIs to implement for real customer centricity</t>
  </si>
  <si>
    <t>The right metrics for lead generation</t>
  </si>
  <si>
    <t>The basics principles to have strategi conversations with your CFO</t>
  </si>
  <si>
    <t>A ready to use template for real time pipeline management by source</t>
  </si>
  <si>
    <t>A ready to use template for lead generation budget planning</t>
  </si>
  <si>
    <t>A disruptive approach to measure sales leaders and sales reps performance</t>
  </si>
  <si>
    <t>A summary of investments efficiency approaches</t>
  </si>
  <si>
    <t>A ready to use template for discounted cash flow analysis and NPV calculation</t>
  </si>
  <si>
    <t xml:space="preserve">Lost in your reports and dashboards? </t>
  </si>
  <si>
    <t xml:space="preserve">Concerned about whether your performance metrics are adapted to the maturity of your sales organization or your strategy? </t>
  </si>
  <si>
    <t>https://boldandsharp.com/contact/</t>
  </si>
  <si>
    <t>Contact us on and let us know how we can help:</t>
  </si>
  <si>
    <t>The right metrics for sales leaders</t>
  </si>
  <si>
    <t>An exercise to test your sales force's knowledge of basic financial and accounting principles</t>
  </si>
  <si>
    <t>However, when reviewing their KPIs with our customers to understand what really needs to be fixed, we find that:</t>
  </si>
  <si>
    <t>The adoption of KPIs is based on so-called best practices, with little focus on what really matters NOW.</t>
  </si>
  <si>
    <t>Sales leasers and sales reps ignore basic and financial principles to drive conversations with their CFOs or their customers' CFOS.</t>
  </si>
  <si>
    <t>You can't manage what you can't measure. Sure.</t>
  </si>
  <si>
    <t>Our customers are stuck in complete but complex lists of KPIs and pay little attention on metrics linked to current business priorities.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</si>
</sst>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m/d/yyyy"/>
    <numFmt numFmtId="165" formatCode="0.0"/>
    <numFmt numFmtId="166" formatCode="m/d/yyyy;@"/>
    <numFmt numFmtId="167" formatCode="&quot;$&quot;#,##0"/>
    <numFmt numFmtId="168" formatCode="[$$-409]#,##0.00"/>
    <numFmt numFmtId="169" formatCode="&quot;$&quot;#,##0.0_);\(&quot;$&quot;#,##0.0\)"/>
    <numFmt numFmtId="170" formatCode="0.0%"/>
    <numFmt numFmtId="171" formatCode="_(* #,##0_);_(* \(#,##0\);_(* &quot;-&quot;??_);_(@_)"/>
    <numFmt numFmtId="172" formatCode="&quot;$&quot;#,##0.00_);\(&quot;$&quot;#,##0.00\)"/>
    <numFmt numFmtId="173" formatCode="#,##0.0_);\(#,##0.0\)"/>
    <numFmt numFmtId="174" formatCode="&quot;$&quot;#,##0_);\(&quot;$&quot;#,##0\)"/>
  </numFmts>
  <fonts count="49">
    <font>
      <sz val="10"/>
      <color rgb="FF000000"/>
      <name val="Arial"/>
      <scheme val="minor"/>
    </font>
    <font>
      <sz val="11"/>
      <color theme="1"/>
      <name val="Arial"/>
      <family val="2"/>
      <scheme val="minor"/>
    </font>
    <font>
      <b/>
      <sz val="10"/>
      <color theme="1"/>
      <name val="Arial"/>
      <family val="2"/>
      <scheme val="minor"/>
    </font>
    <font>
      <sz val="10"/>
      <color theme="1"/>
      <name val="Arial"/>
      <family val="2"/>
      <scheme val="minor"/>
    </font>
    <font>
      <sz val="10"/>
      <color theme="1"/>
      <name val="Arial"/>
      <family val="2"/>
    </font>
    <font>
      <i/>
      <sz val="10"/>
      <color theme="1"/>
      <name val="Arial"/>
      <family val="2"/>
      <scheme val="minor"/>
    </font>
    <font>
      <sz val="8"/>
      <color theme="1"/>
      <name val="Arial"/>
      <family val="2"/>
      <scheme val="minor"/>
    </font>
    <font>
      <sz val="8"/>
      <color rgb="FF000000"/>
      <name val="Arial"/>
      <family val="2"/>
    </font>
    <font>
      <b/>
      <sz val="10"/>
      <color theme="1"/>
      <name val="Arial"/>
      <family val="2"/>
    </font>
    <font>
      <sz val="10"/>
      <color rgb="FF282828"/>
      <name val="&quot;Tiempos Text&quot;"/>
    </font>
    <font>
      <sz val="10"/>
      <color rgb="FFFFFFFF"/>
      <name val="Arial"/>
      <family val="2"/>
      <scheme val="minor"/>
    </font>
    <font>
      <sz val="10"/>
      <color theme="0"/>
      <name val="Arial"/>
      <family val="2"/>
      <scheme val="minor"/>
    </font>
    <font>
      <u/>
      <sz val="10"/>
      <color rgb="FF0000FF"/>
      <name val="Arial"/>
      <family val="2"/>
    </font>
    <font>
      <sz val="10"/>
      <name val="Arial"/>
      <family val="2"/>
    </font>
    <font>
      <b/>
      <sz val="10"/>
      <color rgb="FF000000"/>
      <name val="Arial"/>
      <family val="2"/>
      <scheme val="minor"/>
    </font>
    <font>
      <b/>
      <sz val="10"/>
      <color rgb="FFFFFFFF"/>
      <name val="Arial"/>
      <family val="2"/>
      <scheme val="minor"/>
    </font>
    <font>
      <b/>
      <sz val="10"/>
      <color theme="0"/>
      <name val="Arial"/>
      <family val="2"/>
      <scheme val="minor"/>
    </font>
    <font>
      <b/>
      <i/>
      <sz val="10"/>
      <color rgb="FF000000"/>
      <name val="Arial"/>
      <family val="2"/>
      <scheme val="minor"/>
    </font>
    <font>
      <b/>
      <sz val="10"/>
      <color rgb="FFFF0000"/>
      <name val="Arial"/>
      <family val="2"/>
      <scheme val="minor"/>
    </font>
    <font>
      <sz val="10"/>
      <color rgb="FFFF0000"/>
      <name val="Arial"/>
      <family val="2"/>
      <scheme val="minor"/>
    </font>
    <font>
      <b/>
      <sz val="10"/>
      <color rgb="FF282828"/>
      <name val="Arial"/>
      <family val="2"/>
      <scheme val="minor"/>
    </font>
    <font>
      <u/>
      <sz val="10"/>
      <color rgb="FF1155CC"/>
      <name val="Arial"/>
      <family val="2"/>
    </font>
    <font>
      <sz val="10"/>
      <color rgb="FF000000"/>
      <name val="Arial"/>
      <family val="2"/>
      <scheme val="minor"/>
    </font>
    <font>
      <sz val="10"/>
      <color rgb="FF000000"/>
      <name val="Arial"/>
      <family val="2"/>
      <scheme val="minor"/>
    </font>
    <font>
      <sz val="10"/>
      <name val="Arial"/>
      <family val="2"/>
      <scheme val="minor"/>
    </font>
    <font>
      <sz val="8"/>
      <name val="Arial"/>
      <family val="2"/>
      <scheme val="minor"/>
    </font>
    <font>
      <b/>
      <sz val="10"/>
      <color rgb="FF000000"/>
      <name val="Arial"/>
      <family val="2"/>
    </font>
    <font>
      <sz val="10"/>
      <color rgb="FF000000"/>
      <name val="Arial"/>
      <family val="2"/>
    </font>
    <font>
      <b/>
      <sz val="10"/>
      <name val="Arial"/>
      <family val="2"/>
      <scheme val="minor"/>
    </font>
    <font>
      <sz val="10"/>
      <color rgb="FF000000"/>
      <name val="Calibri"/>
      <family val="2"/>
    </font>
    <font>
      <u/>
      <sz val="10"/>
      <color theme="10"/>
      <name val="Arial"/>
      <family val="2"/>
      <scheme val="minor"/>
    </font>
    <font>
      <b/>
      <i/>
      <sz val="10"/>
      <color theme="1"/>
      <name val="Arial"/>
      <family val="2"/>
      <scheme val="minor"/>
    </font>
    <font>
      <b/>
      <sz val="10"/>
      <color rgb="FF002060"/>
      <name val="Arial"/>
      <family val="2"/>
      <scheme val="minor"/>
    </font>
    <font>
      <b/>
      <sz val="10"/>
      <color rgb="FF0070C0"/>
      <name val="Arial"/>
      <family val="2"/>
      <scheme val="minor"/>
    </font>
    <font>
      <b/>
      <sz val="10"/>
      <color rgb="FFFFC000"/>
      <name val="Arial"/>
      <family val="2"/>
      <scheme val="minor"/>
    </font>
    <font>
      <sz val="8"/>
      <color theme="1"/>
      <name val="Arial"/>
      <family val="2"/>
    </font>
    <font>
      <b/>
      <sz val="10"/>
      <color rgb="FFFFFFFF"/>
      <name val="Arial"/>
      <family val="2"/>
    </font>
    <font>
      <b/>
      <sz val="8"/>
      <color theme="1"/>
      <name val="Arial"/>
      <family val="2"/>
    </font>
    <font>
      <b/>
      <sz val="10"/>
      <color theme="0"/>
      <name val="Arial"/>
      <family val="2"/>
    </font>
    <font>
      <sz val="10"/>
      <color theme="0"/>
      <name val="Arial"/>
      <family val="2"/>
    </font>
    <font>
      <sz val="10"/>
      <color theme="1"/>
      <name val="Calibri"/>
      <family val="2"/>
    </font>
    <font>
      <b/>
      <sz val="14"/>
      <color theme="0"/>
      <name val="Arial"/>
      <family val="2"/>
    </font>
    <font>
      <sz val="8"/>
      <color theme="0"/>
      <name val="Arial"/>
      <family val="2"/>
    </font>
    <font>
      <b/>
      <sz val="10"/>
      <color theme="1"/>
      <name val="Calibri"/>
      <family val="2"/>
    </font>
    <font>
      <i/>
      <sz val="10"/>
      <color theme="0"/>
      <name val="Arial"/>
      <family val="2"/>
    </font>
    <font>
      <sz val="10"/>
      <color theme="1"/>
      <name val="Book Antiqua"/>
      <family val="1"/>
    </font>
    <font>
      <i/>
      <sz val="10"/>
      <color theme="1"/>
      <name val="Arial"/>
      <family val="2"/>
    </font>
    <font>
      <u/>
      <sz val="11"/>
      <color theme="10"/>
      <name val="Arial"/>
      <family val="2"/>
      <scheme val="minor"/>
    </font>
    <font>
      <u/>
      <sz val="10"/>
      <color theme="0"/>
      <name val="Arial"/>
      <family val="2"/>
      <scheme val="minor"/>
    </font>
  </fonts>
  <fills count="35">
    <fill>
      <patternFill patternType="none"/>
    </fill>
    <fill>
      <patternFill patternType="gray125"/>
    </fill>
    <fill>
      <patternFill patternType="solid">
        <fgColor rgb="FFB7B7B7"/>
        <bgColor rgb="FFB7B7B7"/>
      </patternFill>
    </fill>
    <fill>
      <patternFill patternType="solid">
        <fgColor theme="0"/>
        <bgColor theme="0"/>
      </patternFill>
    </fill>
    <fill>
      <patternFill patternType="solid">
        <fgColor rgb="FFFFFFFF"/>
        <bgColor rgb="FFFFFFFF"/>
      </patternFill>
    </fill>
    <fill>
      <patternFill patternType="solid">
        <fgColor rgb="FFCCCCCC"/>
        <bgColor rgb="FFCCCCCC"/>
      </patternFill>
    </fill>
    <fill>
      <patternFill patternType="solid">
        <fgColor rgb="FF1C4587"/>
        <bgColor rgb="FF1C4587"/>
      </patternFill>
    </fill>
    <fill>
      <patternFill patternType="solid">
        <fgColor rgb="FFFFC000"/>
        <bgColor rgb="FFFFC000"/>
      </patternFill>
    </fill>
    <fill>
      <patternFill patternType="solid">
        <fgColor theme="6"/>
        <bgColor theme="6"/>
      </patternFill>
    </fill>
    <fill>
      <patternFill patternType="solid">
        <fgColor rgb="FFF1C232"/>
        <bgColor rgb="FFF1C232"/>
      </patternFill>
    </fill>
    <fill>
      <patternFill patternType="solid">
        <fgColor rgb="FFB4C6E7"/>
        <bgColor rgb="FFB4C6E7"/>
      </patternFill>
    </fill>
    <fill>
      <patternFill patternType="solid">
        <fgColor rgb="FF7F7F7F"/>
        <bgColor rgb="FF7F7F7F"/>
      </patternFill>
    </fill>
    <fill>
      <patternFill patternType="solid">
        <fgColor rgb="FF073763"/>
        <bgColor rgb="FF073763"/>
      </patternFill>
    </fill>
    <fill>
      <patternFill patternType="solid">
        <fgColor rgb="FFFFC000"/>
        <bgColor rgb="FFB7B7B7"/>
      </patternFill>
    </fill>
    <fill>
      <patternFill patternType="solid">
        <fgColor rgb="FFFFC000"/>
        <bgColor indexed="64"/>
      </patternFill>
    </fill>
    <fill>
      <patternFill patternType="solid">
        <fgColor rgb="FF002060"/>
        <bgColor rgb="FFB7B7B7"/>
      </patternFill>
    </fill>
    <fill>
      <patternFill patternType="solid">
        <fgColor rgb="FF002060"/>
        <bgColor indexed="64"/>
      </patternFill>
    </fill>
    <fill>
      <patternFill patternType="solid">
        <fgColor rgb="FF002060"/>
        <bgColor rgb="FF1C4587"/>
      </patternFill>
    </fill>
    <fill>
      <patternFill patternType="solid">
        <fgColor theme="0" tint="-0.249977111117893"/>
        <bgColor indexed="64"/>
      </patternFill>
    </fill>
    <fill>
      <patternFill patternType="solid">
        <fgColor rgb="FF002060"/>
        <bgColor rgb="FFCCCCCC"/>
      </patternFill>
    </fill>
    <fill>
      <patternFill patternType="solid">
        <fgColor rgb="FFFF9900"/>
        <bgColor rgb="FFFF9900"/>
      </patternFill>
    </fill>
    <fill>
      <patternFill patternType="solid">
        <fgColor theme="6"/>
        <bgColor rgb="FFFF9900"/>
      </patternFill>
    </fill>
    <fill>
      <patternFill patternType="solid">
        <fgColor theme="6"/>
        <bgColor indexed="64"/>
      </patternFill>
    </fill>
    <fill>
      <patternFill patternType="solid">
        <fgColor rgb="FFC0C0C0"/>
        <bgColor rgb="FFC0C0C0"/>
      </patternFill>
    </fill>
    <fill>
      <patternFill patternType="solid">
        <fgColor rgb="FF002060"/>
        <bgColor rgb="FF99CCFF"/>
      </patternFill>
    </fill>
    <fill>
      <patternFill patternType="solid">
        <fgColor rgb="FF002060"/>
        <bgColor rgb="FF000000"/>
      </patternFill>
    </fill>
    <fill>
      <patternFill patternType="solid">
        <fgColor rgb="FF002060"/>
        <bgColor rgb="FFCC99FF"/>
      </patternFill>
    </fill>
    <fill>
      <patternFill patternType="solid">
        <fgColor rgb="FF002060"/>
        <bgColor rgb="FFFFFF00"/>
      </patternFill>
    </fill>
    <fill>
      <patternFill patternType="solid">
        <fgColor rgb="FFFFC000"/>
        <bgColor rgb="FF99CCFF"/>
      </patternFill>
    </fill>
    <fill>
      <patternFill patternType="solid">
        <fgColor rgb="FF002060"/>
        <bgColor rgb="FFFFFFFF"/>
      </patternFill>
    </fill>
    <fill>
      <patternFill patternType="solid">
        <fgColor rgb="FF002060"/>
        <bgColor rgb="FF7F7F7F"/>
      </patternFill>
    </fill>
    <fill>
      <patternFill patternType="solid">
        <fgColor rgb="FFFFC000"/>
        <bgColor rgb="FFFFFF00"/>
      </patternFill>
    </fill>
    <fill>
      <patternFill patternType="solid">
        <fgColor theme="0" tint="-0.249977111117893"/>
        <bgColor theme="0"/>
      </patternFill>
    </fill>
    <fill>
      <patternFill patternType="solid">
        <fgColor rgb="FF002060"/>
        <bgColor theme="0"/>
      </patternFill>
    </fill>
    <fill>
      <patternFill patternType="solid">
        <fgColor rgb="FFFFC000"/>
        <bgColor theme="0"/>
      </patternFill>
    </fill>
  </fills>
  <borders count="10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ck">
        <color rgb="FF000000"/>
      </top>
      <bottom/>
      <diagonal/>
    </border>
    <border>
      <left/>
      <right/>
      <top/>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right style="thin">
        <color rgb="FFB7B7B7"/>
      </right>
      <top style="thick">
        <color rgb="FF000000"/>
      </top>
      <bottom style="thick">
        <color rgb="FF000000"/>
      </bottom>
      <diagonal/>
    </border>
    <border>
      <left style="thin">
        <color rgb="FFB7B7B7"/>
      </left>
      <right style="thin">
        <color rgb="FFB7B7B7"/>
      </right>
      <top style="thick">
        <color rgb="FF000000"/>
      </top>
      <bottom style="thick">
        <color rgb="FF000000"/>
      </bottom>
      <diagonal/>
    </border>
    <border>
      <left style="thin">
        <color rgb="FFB7B7B7"/>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top/>
      <bottom style="thin">
        <color rgb="FF000000"/>
      </bottom>
      <diagonal/>
    </border>
    <border>
      <left style="thick">
        <color rgb="FF000000"/>
      </left>
      <right style="thick">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B7B7B7"/>
      </right>
      <top/>
      <bottom style="thin">
        <color rgb="FFB7B7B7"/>
      </bottom>
      <diagonal/>
    </border>
    <border>
      <left style="thin">
        <color rgb="FFB7B7B7"/>
      </left>
      <right style="thin">
        <color rgb="FFB7B7B7"/>
      </right>
      <top/>
      <bottom style="thin">
        <color rgb="FFB7B7B7"/>
      </bottom>
      <diagonal/>
    </border>
    <border>
      <left style="thin">
        <color rgb="FFB7B7B7"/>
      </left>
      <right style="thick">
        <color rgb="FF000000"/>
      </right>
      <top/>
      <bottom style="thin">
        <color rgb="FFB7B7B7"/>
      </bottom>
      <diagonal/>
    </border>
    <border>
      <left style="thick">
        <color rgb="FF000000"/>
      </left>
      <right style="thick">
        <color rgb="FF000000"/>
      </right>
      <top style="thin">
        <color rgb="FF000000"/>
      </top>
      <bottom style="thin">
        <color rgb="FF000000"/>
      </bottom>
      <diagonal/>
    </border>
    <border>
      <left/>
      <right style="thin">
        <color rgb="FFB7B7B7"/>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n">
        <color rgb="FFB7B7B7"/>
      </left>
      <right style="thick">
        <color rgb="FF000000"/>
      </right>
      <top style="thin">
        <color rgb="FFB7B7B7"/>
      </top>
      <bottom style="thin">
        <color rgb="FFB7B7B7"/>
      </bottom>
      <diagonal/>
    </border>
    <border>
      <left style="thin">
        <color rgb="FF000000"/>
      </left>
      <right/>
      <top style="thin">
        <color rgb="FF000000"/>
      </top>
      <bottom/>
      <diagonal/>
    </border>
    <border>
      <left style="thick">
        <color rgb="FF000000"/>
      </left>
      <right style="thick">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B7B7B7"/>
      </right>
      <top style="thin">
        <color rgb="FFB7B7B7"/>
      </top>
      <bottom style="medium">
        <color rgb="FF000000"/>
      </bottom>
      <diagonal/>
    </border>
    <border>
      <left style="thin">
        <color rgb="FFB7B7B7"/>
      </left>
      <right style="thin">
        <color rgb="FFB7B7B7"/>
      </right>
      <top style="thin">
        <color rgb="FFB7B7B7"/>
      </top>
      <bottom style="medium">
        <color rgb="FF000000"/>
      </bottom>
      <diagonal/>
    </border>
    <border>
      <left style="thin">
        <color rgb="FFB7B7B7"/>
      </left>
      <right style="thick">
        <color rgb="FF000000"/>
      </right>
      <top style="thin">
        <color rgb="FFB7B7B7"/>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thick">
        <color rgb="FF000000"/>
      </left>
      <right style="thick">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thick">
        <color rgb="FF000000"/>
      </left>
      <right style="thick">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B7B7B7"/>
      </right>
      <top style="thin">
        <color rgb="FFB7B7B7"/>
      </top>
      <bottom/>
      <diagonal/>
    </border>
    <border>
      <left style="thin">
        <color rgb="FFB7B7B7"/>
      </left>
      <right style="thin">
        <color rgb="FFB7B7B7"/>
      </right>
      <top style="thin">
        <color rgb="FFB7B7B7"/>
      </top>
      <bottom/>
      <diagonal/>
    </border>
    <border>
      <left style="thin">
        <color rgb="FFB7B7B7"/>
      </left>
      <right style="thick">
        <color rgb="FF000000"/>
      </right>
      <top style="thin">
        <color rgb="FFB7B7B7"/>
      </top>
      <bottom/>
      <diagonal/>
    </border>
    <border>
      <left/>
      <right style="medium">
        <color rgb="FF000000"/>
      </right>
      <top style="thin">
        <color rgb="FF000000"/>
      </top>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diagonal/>
    </border>
    <border>
      <left/>
      <right/>
      <top style="thick">
        <color rgb="FF000000"/>
      </top>
      <bottom style="thick">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ck">
        <color rgb="FF000000"/>
      </right>
      <top style="medium">
        <color rgb="FF000000"/>
      </top>
      <bottom/>
      <diagonal/>
    </border>
    <border>
      <left/>
      <right style="medium">
        <color rgb="FF000000"/>
      </right>
      <top style="medium">
        <color rgb="FF000000"/>
      </top>
      <bottom/>
      <diagonal/>
    </border>
    <border>
      <left style="thick">
        <color rgb="FF000000"/>
      </left>
      <right style="thick">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ck">
        <color rgb="FF000000"/>
      </right>
      <top/>
      <bottom/>
      <diagonal/>
    </border>
    <border>
      <left style="thick">
        <color rgb="FF000000"/>
      </left>
      <right style="thick">
        <color rgb="FF000000"/>
      </right>
      <top/>
      <bottom style="thick">
        <color rgb="FF000000"/>
      </bottom>
      <diagonal/>
    </border>
    <border>
      <left/>
      <right/>
      <top style="thick">
        <color rgb="FF0B5394"/>
      </top>
      <bottom style="thick">
        <color rgb="FF0B5394"/>
      </bottom>
      <diagonal/>
    </border>
    <border>
      <left/>
      <right/>
      <top/>
      <bottom style="thick">
        <color rgb="FF0B539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style="thin">
        <color rgb="FF000000"/>
      </left>
      <right style="medium">
        <color rgb="FF002060"/>
      </right>
      <top style="thin">
        <color rgb="FF000000"/>
      </top>
      <bottom style="thin">
        <color rgb="FF000000"/>
      </bottom>
      <diagonal/>
    </border>
    <border>
      <left/>
      <right style="medium">
        <color rgb="FF002060"/>
      </right>
      <top style="thin">
        <color rgb="FF000000"/>
      </top>
      <bottom style="thin">
        <color rgb="FF000000"/>
      </bottom>
      <diagonal/>
    </border>
    <border>
      <left style="medium">
        <color rgb="FF002060"/>
      </left>
      <right/>
      <top/>
      <bottom style="medium">
        <color rgb="FF002060"/>
      </bottom>
      <diagonal/>
    </border>
    <border>
      <left style="thin">
        <color rgb="FF000000"/>
      </left>
      <right/>
      <top style="thin">
        <color rgb="FF000000"/>
      </top>
      <bottom style="medium">
        <color rgb="FF002060"/>
      </bottom>
      <diagonal/>
    </border>
    <border>
      <left/>
      <right/>
      <top style="thin">
        <color rgb="FF000000"/>
      </top>
      <bottom style="medium">
        <color rgb="FF002060"/>
      </bottom>
      <diagonal/>
    </border>
    <border>
      <left/>
      <right style="thin">
        <color rgb="FF000000"/>
      </right>
      <top style="thin">
        <color rgb="FF000000"/>
      </top>
      <bottom style="medium">
        <color rgb="FF002060"/>
      </bottom>
      <diagonal/>
    </border>
    <border>
      <left style="thin">
        <color rgb="FF000000"/>
      </left>
      <right style="thin">
        <color rgb="FF000000"/>
      </right>
      <top style="thin">
        <color rgb="FF000000"/>
      </top>
      <bottom style="medium">
        <color rgb="FF002060"/>
      </bottom>
      <diagonal/>
    </border>
    <border>
      <left style="thin">
        <color rgb="FF000000"/>
      </left>
      <right style="medium">
        <color rgb="FF002060"/>
      </right>
      <top style="thin">
        <color rgb="FF000000"/>
      </top>
      <bottom style="medium">
        <color rgb="FF002060"/>
      </bottom>
      <diagonal/>
    </border>
    <border>
      <left style="thin">
        <color rgb="FF000000"/>
      </left>
      <right style="thick">
        <color rgb="FF000000"/>
      </right>
      <top style="thin">
        <color rgb="FF000000"/>
      </top>
      <bottom style="thin">
        <color indexed="64"/>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rgb="FF000000"/>
      </left>
      <right/>
      <top/>
      <bottom/>
      <diagonal/>
    </border>
    <border>
      <left style="thin">
        <color rgb="FF000000"/>
      </left>
      <right style="thin">
        <color rgb="FF000000"/>
      </right>
      <top style="thick">
        <color rgb="FF000000"/>
      </top>
      <bottom/>
      <diagonal/>
    </border>
    <border>
      <left style="thin">
        <color rgb="FF000000"/>
      </left>
      <right style="thin">
        <color rgb="FF000000"/>
      </right>
      <top style="thin">
        <color rgb="FF000000"/>
      </top>
      <bottom style="medium">
        <color indexed="64"/>
      </bottom>
      <diagonal/>
    </border>
    <border>
      <left/>
      <right style="thin">
        <color theme="0" tint="-0.14999847407452621"/>
      </right>
      <top/>
      <bottom style="thin">
        <color rgb="FF000000"/>
      </bottom>
      <diagonal/>
    </border>
    <border>
      <left/>
      <right style="thin">
        <color theme="0" tint="-0.14999847407452621"/>
      </right>
      <top style="thin">
        <color rgb="FF000000"/>
      </top>
      <bottom/>
      <diagonal/>
    </border>
    <border>
      <left style="thin">
        <color rgb="FF000000"/>
      </left>
      <right style="thin">
        <color theme="0" tint="-0.14999847407452621"/>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style="thick">
        <color rgb="FF000000"/>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6">
    <xf numFmtId="0" fontId="0" fillId="0" borderId="0"/>
    <xf numFmtId="9" fontId="23" fillId="0" borderId="0" applyFont="0" applyFill="0" applyBorder="0" applyAlignment="0" applyProtection="0"/>
    <xf numFmtId="0" fontId="30" fillId="0" borderId="0" applyNumberFormat="0" applyFill="0" applyBorder="0" applyAlignment="0" applyProtection="0"/>
    <xf numFmtId="0" fontId="22" fillId="0" borderId="6"/>
    <xf numFmtId="0" fontId="1" fillId="0" borderId="6"/>
    <xf numFmtId="0" fontId="47" fillId="0" borderId="6" applyNumberFormat="0" applyFill="0" applyBorder="0" applyAlignment="0" applyProtection="0"/>
  </cellStyleXfs>
  <cellXfs count="510">
    <xf numFmtId="0" fontId="0" fillId="0" borderId="0" xfId="0"/>
    <xf numFmtId="0" fontId="2" fillId="0" borderId="0" xfId="0" applyFont="1"/>
    <xf numFmtId="0" fontId="3" fillId="0" borderId="0" xfId="0" applyFont="1"/>
    <xf numFmtId="0" fontId="5" fillId="0" borderId="0" xfId="0" applyFont="1"/>
    <xf numFmtId="0" fontId="2" fillId="5" borderId="0" xfId="0" applyFont="1" applyFill="1"/>
    <xf numFmtId="0" fontId="2" fillId="0" borderId="0" xfId="0" applyFont="1" applyAlignment="1">
      <alignment horizontal="center"/>
    </xf>
    <xf numFmtId="0" fontId="3" fillId="0" borderId="0" xfId="0" applyFont="1" applyAlignment="1">
      <alignment horizontal="center"/>
    </xf>
    <xf numFmtId="1" fontId="18" fillId="0" borderId="0" xfId="0" applyNumberFormat="1" applyFont="1" applyAlignment="1">
      <alignment horizontal="center" vertical="center"/>
    </xf>
    <xf numFmtId="0" fontId="0" fillId="0" borderId="0" xfId="0" applyAlignment="1">
      <alignment horizontal="center" vertical="center"/>
    </xf>
    <xf numFmtId="0" fontId="3" fillId="14" borderId="67" xfId="0" applyFont="1" applyFill="1" applyBorder="1" applyAlignment="1">
      <alignment horizontal="center" vertical="center"/>
    </xf>
    <xf numFmtId="0" fontId="22" fillId="0" borderId="0" xfId="0" applyFont="1"/>
    <xf numFmtId="0" fontId="24" fillId="0" borderId="0" xfId="0" applyFont="1" applyAlignment="1">
      <alignment vertical="center"/>
    </xf>
    <xf numFmtId="0" fontId="24" fillId="0" borderId="0" xfId="0" applyFont="1"/>
    <xf numFmtId="0" fontId="22" fillId="14" borderId="0" xfId="0" applyFont="1" applyFill="1"/>
    <xf numFmtId="0" fontId="0" fillId="14" borderId="0" xfId="0" applyFill="1"/>
    <xf numFmtId="0" fontId="16" fillId="0" borderId="0" xfId="0" applyFont="1"/>
    <xf numFmtId="0" fontId="16" fillId="16" borderId="0" xfId="0" applyFont="1" applyFill="1"/>
    <xf numFmtId="0" fontId="16" fillId="16" borderId="0" xfId="0" applyFont="1" applyFill="1" applyAlignment="1">
      <alignment horizontal="center" vertical="center"/>
    </xf>
    <xf numFmtId="0" fontId="16" fillId="8" borderId="6" xfId="0" applyFont="1" applyFill="1" applyBorder="1" applyAlignment="1">
      <alignment horizontal="center" vertical="center"/>
    </xf>
    <xf numFmtId="0" fontId="16" fillId="16" borderId="68" xfId="0" applyFont="1" applyFill="1" applyBorder="1" applyAlignment="1">
      <alignment horizontal="center" vertical="center"/>
    </xf>
    <xf numFmtId="0" fontId="28" fillId="18" borderId="0" xfId="0" applyFont="1" applyFill="1" applyAlignment="1">
      <alignment vertical="center"/>
    </xf>
    <xf numFmtId="0" fontId="22" fillId="0" borderId="0" xfId="0" applyFont="1" applyAlignment="1">
      <alignment horizontal="center" vertical="center"/>
    </xf>
    <xf numFmtId="0" fontId="11" fillId="16" borderId="0" xfId="0" applyFont="1" applyFill="1" applyAlignment="1">
      <alignment horizontal="center" vertical="center"/>
    </xf>
    <xf numFmtId="0" fontId="3" fillId="0" borderId="6" xfId="0" applyFont="1" applyBorder="1" applyAlignment="1">
      <alignment horizontal="center"/>
    </xf>
    <xf numFmtId="0" fontId="0" fillId="0" borderId="0" xfId="0" applyAlignment="1">
      <alignment vertical="center"/>
    </xf>
    <xf numFmtId="0" fontId="3" fillId="0" borderId="0" xfId="0" applyFont="1" applyAlignment="1">
      <alignment vertical="center"/>
    </xf>
    <xf numFmtId="0" fontId="22" fillId="0" borderId="0" xfId="0" applyFont="1" applyAlignment="1">
      <alignment vertical="center"/>
    </xf>
    <xf numFmtId="0" fontId="16" fillId="16" borderId="0" xfId="0" applyFont="1" applyFill="1" applyAlignment="1">
      <alignment vertical="center"/>
    </xf>
    <xf numFmtId="0" fontId="11" fillId="16" borderId="0" xfId="0" applyFont="1" applyFill="1" applyAlignment="1">
      <alignment vertical="center"/>
    </xf>
    <xf numFmtId="0" fontId="0" fillId="16" borderId="0" xfId="0" applyFill="1" applyAlignment="1">
      <alignment vertical="center"/>
    </xf>
    <xf numFmtId="0" fontId="0" fillId="0" borderId="0" xfId="0" applyAlignment="1">
      <alignment horizontal="right" vertical="center"/>
    </xf>
    <xf numFmtId="0" fontId="22" fillId="0" borderId="0" xfId="0" applyFont="1" applyAlignment="1">
      <alignment horizontal="right" vertical="center"/>
    </xf>
    <xf numFmtId="0" fontId="22" fillId="14" borderId="0" xfId="0" applyFont="1" applyFill="1" applyAlignment="1">
      <alignment vertical="center"/>
    </xf>
    <xf numFmtId="0" fontId="0" fillId="14" borderId="0" xfId="0" applyFill="1" applyAlignment="1">
      <alignment vertical="center"/>
    </xf>
    <xf numFmtId="0" fontId="29" fillId="0" borderId="0" xfId="0" applyFont="1" applyAlignment="1">
      <alignment horizontal="right" vertical="center"/>
    </xf>
    <xf numFmtId="0" fontId="11" fillId="16" borderId="0" xfId="0" applyFont="1" applyFill="1" applyAlignment="1">
      <alignment horizontal="left" vertical="center"/>
    </xf>
    <xf numFmtId="0" fontId="11" fillId="16" borderId="6" xfId="0" applyFont="1" applyFill="1" applyBorder="1" applyAlignment="1">
      <alignment horizontal="center" vertical="center"/>
    </xf>
    <xf numFmtId="0" fontId="11" fillId="0" borderId="0" xfId="0" applyFont="1" applyAlignment="1">
      <alignment horizontal="left" vertical="center"/>
    </xf>
    <xf numFmtId="0" fontId="3" fillId="0" borderId="0" xfId="0" applyFont="1" applyAlignment="1">
      <alignment horizontal="center" vertical="center"/>
    </xf>
    <xf numFmtId="0" fontId="11" fillId="16" borderId="82" xfId="0" applyFont="1" applyFill="1" applyBorder="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2" fillId="0" borderId="0" xfId="0" applyFont="1" applyAlignment="1">
      <alignment vertical="center"/>
    </xf>
    <xf numFmtId="0" fontId="0" fillId="0" borderId="6" xfId="0" applyBorder="1" applyAlignment="1">
      <alignment vertical="center"/>
    </xf>
    <xf numFmtId="0" fontId="2" fillId="2" borderId="0" xfId="0" applyFont="1" applyFill="1" applyAlignment="1">
      <alignment vertical="center"/>
    </xf>
    <xf numFmtId="0" fontId="21" fillId="0" borderId="0" xfId="0" applyFont="1" applyAlignment="1">
      <alignment vertical="center"/>
    </xf>
    <xf numFmtId="0" fontId="12" fillId="0" borderId="0" xfId="0" applyFont="1" applyAlignment="1">
      <alignment vertical="center"/>
    </xf>
    <xf numFmtId="0" fontId="3" fillId="13" borderId="70" xfId="0" applyFont="1" applyFill="1" applyBorder="1" applyAlignment="1">
      <alignment vertical="center"/>
    </xf>
    <xf numFmtId="0" fontId="2" fillId="13" borderId="70" xfId="0" applyFont="1" applyFill="1" applyBorder="1" applyAlignment="1">
      <alignment horizontal="center" vertical="center"/>
    </xf>
    <xf numFmtId="0" fontId="2" fillId="13" borderId="71" xfId="0" applyFont="1" applyFill="1" applyBorder="1" applyAlignment="1">
      <alignment horizontal="center" vertical="center"/>
    </xf>
    <xf numFmtId="49" fontId="3" fillId="0" borderId="0" xfId="0" applyNumberFormat="1" applyFont="1" applyAlignment="1">
      <alignment horizontal="right" vertical="center"/>
    </xf>
    <xf numFmtId="0" fontId="3" fillId="0" borderId="4" xfId="0" applyFont="1" applyBorder="1" applyAlignment="1">
      <alignment vertical="center"/>
    </xf>
    <xf numFmtId="0" fontId="3" fillId="0" borderId="73" xfId="0" applyFont="1" applyBorder="1" applyAlignment="1">
      <alignment vertical="center"/>
    </xf>
    <xf numFmtId="0" fontId="3" fillId="13" borderId="2" xfId="0" applyFont="1" applyFill="1" applyBorder="1" applyAlignment="1">
      <alignment vertical="center"/>
    </xf>
    <xf numFmtId="0" fontId="3" fillId="13" borderId="74" xfId="0" applyFont="1" applyFill="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49" fontId="6" fillId="0" borderId="0" xfId="0" applyNumberFormat="1" applyFont="1" applyAlignment="1">
      <alignment horizontal="right" vertical="center"/>
    </xf>
    <xf numFmtId="0" fontId="6" fillId="0" borderId="0" xfId="0" applyFont="1" applyAlignment="1">
      <alignment vertical="center"/>
    </xf>
    <xf numFmtId="0" fontId="16" fillId="15" borderId="0" xfId="0" applyFont="1" applyFill="1" applyAlignment="1">
      <alignment horizontal="center" vertical="center"/>
    </xf>
    <xf numFmtId="0" fontId="3" fillId="14" borderId="67" xfId="0" applyFont="1" applyFill="1" applyBorder="1" applyAlignment="1">
      <alignment vertical="center"/>
    </xf>
    <xf numFmtId="0" fontId="16" fillId="16" borderId="68" xfId="0" applyFont="1" applyFill="1" applyBorder="1" applyAlignment="1">
      <alignment vertical="center"/>
    </xf>
    <xf numFmtId="1" fontId="3" fillId="0" borderId="0" xfId="0" applyNumberFormat="1" applyFont="1" applyAlignment="1">
      <alignment horizontal="center" vertical="center"/>
    </xf>
    <xf numFmtId="0" fontId="3" fillId="2" borderId="0" xfId="0" applyFont="1" applyFill="1" applyAlignment="1">
      <alignment vertical="center"/>
    </xf>
    <xf numFmtId="1" fontId="3" fillId="2" borderId="0" xfId="0" applyNumberFormat="1" applyFont="1" applyFill="1" applyAlignment="1">
      <alignment horizontal="center" vertical="center"/>
    </xf>
    <xf numFmtId="164" fontId="3" fillId="0" borderId="0" xfId="0" applyNumberFormat="1" applyFont="1" applyAlignment="1">
      <alignment horizontal="right" vertical="center"/>
    </xf>
    <xf numFmtId="0" fontId="3" fillId="17" borderId="0" xfId="0" applyFont="1" applyFill="1" applyAlignment="1">
      <alignment vertical="center"/>
    </xf>
    <xf numFmtId="0" fontId="3" fillId="7" borderId="0" xfId="0" applyFont="1" applyFill="1" applyAlignment="1">
      <alignment vertical="center"/>
    </xf>
    <xf numFmtId="1" fontId="2" fillId="2" borderId="0" xfId="0" applyNumberFormat="1" applyFont="1" applyFill="1" applyAlignment="1">
      <alignment horizontal="center" vertical="center"/>
    </xf>
    <xf numFmtId="1" fontId="10" fillId="0" borderId="0" xfId="0" applyNumberFormat="1" applyFont="1" applyAlignment="1">
      <alignment horizontal="center" vertical="center"/>
    </xf>
    <xf numFmtId="1" fontId="10" fillId="17" borderId="0" xfId="0" applyNumberFormat="1" applyFont="1" applyFill="1" applyAlignment="1">
      <alignment horizontal="center" vertical="center"/>
    </xf>
    <xf numFmtId="9" fontId="10" fillId="17" borderId="0" xfId="0" applyNumberFormat="1" applyFont="1" applyFill="1" applyAlignment="1">
      <alignment horizontal="center" vertical="center"/>
    </xf>
    <xf numFmtId="1" fontId="3" fillId="7" borderId="0" xfId="0" applyNumberFormat="1" applyFont="1" applyFill="1" applyAlignment="1">
      <alignment horizontal="center" vertical="center"/>
    </xf>
    <xf numFmtId="1" fontId="10" fillId="12" borderId="0" xfId="0" applyNumberFormat="1" applyFont="1" applyFill="1" applyAlignment="1">
      <alignment horizontal="center" vertical="center"/>
    </xf>
    <xf numFmtId="9" fontId="3" fillId="7" borderId="0" xfId="0" applyNumberFormat="1" applyFont="1" applyFill="1" applyAlignment="1">
      <alignment horizontal="center" vertical="center"/>
    </xf>
    <xf numFmtId="0" fontId="2" fillId="0" borderId="0" xfId="0" applyFont="1" applyAlignment="1">
      <alignment horizontal="center" vertical="center"/>
    </xf>
    <xf numFmtId="0" fontId="10" fillId="6" borderId="0" xfId="0" applyFont="1" applyFill="1" applyAlignment="1">
      <alignment vertical="center"/>
    </xf>
    <xf numFmtId="0" fontId="10" fillId="6" borderId="0" xfId="0" applyFont="1" applyFill="1" applyAlignment="1">
      <alignment horizontal="center" vertical="center"/>
    </xf>
    <xf numFmtId="9" fontId="10" fillId="6" borderId="0" xfId="0" applyNumberFormat="1" applyFont="1" applyFill="1" applyAlignment="1">
      <alignment horizontal="center" vertical="center"/>
    </xf>
    <xf numFmtId="0" fontId="10" fillId="7" borderId="0" xfId="0" applyFont="1" applyFill="1" applyAlignment="1">
      <alignment vertical="center"/>
    </xf>
    <xf numFmtId="0" fontId="11" fillId="7" borderId="0" xfId="0" applyFont="1" applyFill="1" applyAlignment="1">
      <alignment horizontal="center" vertical="center"/>
    </xf>
    <xf numFmtId="0" fontId="11" fillId="7" borderId="0" xfId="0" applyFont="1" applyFill="1" applyAlignment="1">
      <alignment vertical="center"/>
    </xf>
    <xf numFmtId="0" fontId="2" fillId="5" borderId="0" xfId="0" applyFont="1" applyFill="1" applyAlignment="1">
      <alignment vertical="center"/>
    </xf>
    <xf numFmtId="0" fontId="27" fillId="0" borderId="0" xfId="0" applyFont="1" applyAlignment="1">
      <alignment vertical="center"/>
    </xf>
    <xf numFmtId="0" fontId="4" fillId="0" borderId="0" xfId="0" applyFont="1" applyAlignment="1">
      <alignment vertical="center"/>
    </xf>
    <xf numFmtId="0" fontId="4" fillId="0" borderId="6" xfId="0" applyFont="1" applyBorder="1" applyAlignment="1">
      <alignment vertical="center"/>
    </xf>
    <xf numFmtId="0" fontId="14" fillId="0" borderId="0" xfId="0" applyFont="1" applyAlignment="1">
      <alignment vertical="center"/>
    </xf>
    <xf numFmtId="0" fontId="5" fillId="0" borderId="0" xfId="0" applyFont="1" applyAlignment="1">
      <alignment vertical="center"/>
    </xf>
    <xf numFmtId="0" fontId="7" fillId="4" borderId="0" xfId="0" applyFont="1" applyFill="1" applyAlignment="1">
      <alignment horizontal="left" vertical="center"/>
    </xf>
    <xf numFmtId="0" fontId="8" fillId="0" borderId="6" xfId="0" applyFont="1" applyBorder="1" applyAlignment="1">
      <alignment vertical="center"/>
    </xf>
    <xf numFmtId="0" fontId="9" fillId="3" borderId="0" xfId="0" applyFont="1" applyFill="1" applyAlignment="1">
      <alignment vertical="center"/>
    </xf>
    <xf numFmtId="0" fontId="3" fillId="0" borderId="0" xfId="0" applyFont="1" applyAlignment="1">
      <alignment horizontal="left" vertical="center"/>
    </xf>
    <xf numFmtId="0" fontId="22" fillId="14" borderId="0" xfId="0" applyFont="1" applyFill="1" applyAlignment="1">
      <alignment horizontal="left" vertical="center"/>
    </xf>
    <xf numFmtId="0" fontId="11" fillId="14" borderId="6" xfId="0" applyFont="1" applyFill="1" applyBorder="1" applyAlignment="1">
      <alignment horizontal="center" vertical="center"/>
    </xf>
    <xf numFmtId="0" fontId="24" fillId="14" borderId="0" xfId="0" applyFont="1" applyFill="1" applyAlignment="1">
      <alignment vertical="center"/>
    </xf>
    <xf numFmtId="164" fontId="2" fillId="0" borderId="0" xfId="0" applyNumberFormat="1" applyFont="1" applyAlignment="1">
      <alignment horizontal="center" vertical="center"/>
    </xf>
    <xf numFmtId="164" fontId="3" fillId="0" borderId="0" xfId="0" applyNumberFormat="1" applyFont="1" applyAlignment="1">
      <alignment vertical="center"/>
    </xf>
    <xf numFmtId="0" fontId="31" fillId="0" borderId="0" xfId="0" applyFont="1"/>
    <xf numFmtId="0" fontId="14" fillId="18" borderId="0" xfId="0" applyFont="1" applyFill="1" applyAlignment="1">
      <alignment vertical="center"/>
    </xf>
    <xf numFmtId="0" fontId="30" fillId="0" borderId="0" xfId="2" applyAlignment="1">
      <alignment vertical="center"/>
    </xf>
    <xf numFmtId="0" fontId="2" fillId="0" borderId="3" xfId="0" applyFont="1" applyBorder="1" applyAlignment="1">
      <alignment horizontal="center"/>
    </xf>
    <xf numFmtId="0" fontId="2" fillId="0" borderId="4"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5" borderId="0" xfId="0" applyFont="1" applyFill="1"/>
    <xf numFmtId="9" fontId="3" fillId="0" borderId="0" xfId="0" applyNumberFormat="1" applyFont="1"/>
    <xf numFmtId="1" fontId="3" fillId="21" borderId="0" xfId="0" applyNumberFormat="1" applyFont="1" applyFill="1"/>
    <xf numFmtId="0" fontId="3" fillId="22" borderId="0" xfId="0" applyFont="1" applyFill="1"/>
    <xf numFmtId="0" fontId="3" fillId="0" borderId="28" xfId="0" applyFont="1" applyBorder="1" applyAlignment="1">
      <alignment horizontal="center"/>
    </xf>
    <xf numFmtId="0" fontId="3" fillId="0" borderId="29" xfId="0" applyFont="1" applyBorder="1" applyAlignment="1">
      <alignment horizontal="center"/>
    </xf>
    <xf numFmtId="0" fontId="3" fillId="14" borderId="83" xfId="0" applyFont="1" applyFill="1" applyBorder="1" applyAlignment="1">
      <alignment horizontal="center"/>
    </xf>
    <xf numFmtId="0" fontId="3" fillId="0" borderId="83" xfId="0" applyFont="1" applyBorder="1" applyAlignment="1">
      <alignment horizontal="center"/>
    </xf>
    <xf numFmtId="0" fontId="3" fillId="14" borderId="84" xfId="0" applyFont="1" applyFill="1" applyBorder="1" applyAlignment="1">
      <alignment horizontal="center"/>
    </xf>
    <xf numFmtId="0" fontId="2" fillId="0" borderId="83" xfId="0" applyFont="1" applyBorder="1" applyAlignment="1">
      <alignment horizontal="center"/>
    </xf>
    <xf numFmtId="0" fontId="3" fillId="0" borderId="85" xfId="0" applyFont="1" applyBorder="1" applyAlignment="1">
      <alignment horizontal="center"/>
    </xf>
    <xf numFmtId="0" fontId="3" fillId="14" borderId="85" xfId="0" applyFont="1" applyFill="1" applyBorder="1" applyAlignment="1">
      <alignment horizontal="center"/>
    </xf>
    <xf numFmtId="0" fontId="28" fillId="22" borderId="83" xfId="0" applyFont="1" applyFill="1" applyBorder="1"/>
    <xf numFmtId="0" fontId="3" fillId="14" borderId="86" xfId="0" applyFont="1" applyFill="1" applyBorder="1" applyAlignment="1">
      <alignment horizontal="center"/>
    </xf>
    <xf numFmtId="0" fontId="2" fillId="14" borderId="83" xfId="0" applyFont="1" applyFill="1" applyBorder="1"/>
    <xf numFmtId="0" fontId="2" fillId="0" borderId="84" xfId="0" applyFont="1" applyBorder="1" applyAlignment="1">
      <alignment horizontal="center"/>
    </xf>
    <xf numFmtId="0" fontId="2" fillId="14" borderId="83" xfId="0" applyFont="1" applyFill="1" applyBorder="1" applyAlignment="1">
      <alignment horizontal="center"/>
    </xf>
    <xf numFmtId="0" fontId="2" fillId="14" borderId="0" xfId="0" applyFont="1" applyFill="1" applyAlignment="1">
      <alignment horizontal="center" vertical="center"/>
    </xf>
    <xf numFmtId="0" fontId="2" fillId="0" borderId="28" xfId="0" applyFont="1" applyBorder="1" applyAlignment="1">
      <alignment horizontal="center"/>
    </xf>
    <xf numFmtId="9" fontId="3" fillId="14" borderId="0" xfId="0" applyNumberFormat="1" applyFont="1" applyFill="1" applyAlignment="1">
      <alignment horizontal="center" vertical="center"/>
    </xf>
    <xf numFmtId="1" fontId="3" fillId="14" borderId="0" xfId="0" applyNumberFormat="1" applyFont="1" applyFill="1" applyAlignment="1">
      <alignment horizontal="center" vertical="center"/>
    </xf>
    <xf numFmtId="167" fontId="3" fillId="14" borderId="0" xfId="0" applyNumberFormat="1" applyFont="1" applyFill="1" applyAlignment="1">
      <alignment horizontal="center" vertical="center"/>
    </xf>
    <xf numFmtId="0" fontId="0" fillId="0" borderId="83" xfId="0" applyBorder="1"/>
    <xf numFmtId="167" fontId="3" fillId="0" borderId="0" xfId="0" applyNumberFormat="1" applyFont="1" applyAlignment="1">
      <alignment horizontal="center" vertical="center"/>
    </xf>
    <xf numFmtId="0" fontId="28" fillId="14" borderId="83" xfId="0" applyFont="1" applyFill="1" applyBorder="1"/>
    <xf numFmtId="9" fontId="28" fillId="14" borderId="83" xfId="0" applyNumberFormat="1" applyFont="1" applyFill="1" applyBorder="1" applyAlignment="1">
      <alignment horizontal="center" vertical="center"/>
    </xf>
    <xf numFmtId="10" fontId="3" fillId="14" borderId="0" xfId="0" applyNumberFormat="1" applyFont="1" applyFill="1" applyAlignment="1">
      <alignment horizontal="center" vertical="center"/>
    </xf>
    <xf numFmtId="0" fontId="11" fillId="16" borderId="6" xfId="0" applyFont="1" applyFill="1" applyBorder="1" applyAlignment="1">
      <alignment vertical="center"/>
    </xf>
    <xf numFmtId="0" fontId="22" fillId="0" borderId="6" xfId="0" applyFont="1" applyBorder="1" applyAlignment="1">
      <alignment vertical="center"/>
    </xf>
    <xf numFmtId="0" fontId="0" fillId="0" borderId="87" xfId="0" applyBorder="1" applyAlignment="1">
      <alignment vertical="center"/>
    </xf>
    <xf numFmtId="0" fontId="18" fillId="0" borderId="87" xfId="0" applyFont="1" applyBorder="1" applyAlignment="1">
      <alignment vertical="center"/>
    </xf>
    <xf numFmtId="0" fontId="32" fillId="0" borderId="87" xfId="0" applyFont="1" applyBorder="1" applyAlignment="1">
      <alignment vertical="center"/>
    </xf>
    <xf numFmtId="0" fontId="14" fillId="0" borderId="87" xfId="0" applyFont="1" applyBorder="1" applyAlignment="1">
      <alignment vertical="center"/>
    </xf>
    <xf numFmtId="0" fontId="22" fillId="0" borderId="87" xfId="0" applyFont="1" applyBorder="1" applyAlignment="1">
      <alignment vertical="center"/>
    </xf>
    <xf numFmtId="0" fontId="34" fillId="0" borderId="87" xfId="0" applyFont="1" applyBorder="1" applyAlignment="1">
      <alignment vertical="center"/>
    </xf>
    <xf numFmtId="0" fontId="33" fillId="0" borderId="87" xfId="0" applyFont="1" applyBorder="1" applyAlignment="1">
      <alignment vertical="center"/>
    </xf>
    <xf numFmtId="0" fontId="16" fillId="19" borderId="88" xfId="0" applyFont="1" applyFill="1" applyBorder="1" applyAlignment="1">
      <alignment vertical="center"/>
    </xf>
    <xf numFmtId="0" fontId="16" fillId="19" borderId="88" xfId="0" applyFont="1" applyFill="1" applyBorder="1" applyAlignment="1">
      <alignment horizontal="center" vertical="center"/>
    </xf>
    <xf numFmtId="0" fontId="11" fillId="16" borderId="87" xfId="0" applyFont="1" applyFill="1" applyBorder="1" applyAlignment="1">
      <alignment vertical="center"/>
    </xf>
    <xf numFmtId="0" fontId="3" fillId="0" borderId="87" xfId="0" applyFont="1" applyBorder="1" applyAlignment="1">
      <alignment vertical="center"/>
    </xf>
    <xf numFmtId="0" fontId="31" fillId="0" borderId="87" xfId="0" applyFont="1" applyBorder="1" applyAlignment="1">
      <alignment vertical="center"/>
    </xf>
    <xf numFmtId="1" fontId="3" fillId="14" borderId="83" xfId="0" applyNumberFormat="1" applyFont="1" applyFill="1" applyBorder="1" applyAlignment="1">
      <alignment horizontal="center"/>
    </xf>
    <xf numFmtId="0" fontId="11" fillId="0" borderId="6" xfId="0" applyFont="1" applyBorder="1" applyAlignment="1">
      <alignment vertical="center"/>
    </xf>
    <xf numFmtId="0" fontId="16" fillId="16" borderId="83" xfId="0" applyFont="1" applyFill="1" applyBorder="1"/>
    <xf numFmtId="9" fontId="11" fillId="16" borderId="83" xfId="0" applyNumberFormat="1" applyFont="1" applyFill="1" applyBorder="1" applyAlignment="1">
      <alignment horizontal="center"/>
    </xf>
    <xf numFmtId="4" fontId="4" fillId="4" borderId="6" xfId="3" applyNumberFormat="1" applyFont="1" applyFill="1" applyAlignment="1">
      <alignment horizontal="center" vertical="center"/>
    </xf>
    <xf numFmtId="0" fontId="4" fillId="4" borderId="6" xfId="3" applyFont="1" applyFill="1" applyAlignment="1">
      <alignment horizontal="center" vertical="center"/>
    </xf>
    <xf numFmtId="4" fontId="37" fillId="4" borderId="6" xfId="3" applyNumberFormat="1" applyFont="1" applyFill="1" applyAlignment="1">
      <alignment horizontal="center" vertical="center"/>
    </xf>
    <xf numFmtId="0" fontId="22" fillId="0" borderId="6" xfId="3" applyAlignment="1">
      <alignment horizontal="center" vertical="center"/>
    </xf>
    <xf numFmtId="168" fontId="4" fillId="0" borderId="4" xfId="3" applyNumberFormat="1" applyFont="1" applyBorder="1" applyAlignment="1">
      <alignment horizontal="center" vertical="center"/>
    </xf>
    <xf numFmtId="3" fontId="4" fillId="0" borderId="4" xfId="3" applyNumberFormat="1" applyFont="1" applyBorder="1" applyAlignment="1">
      <alignment horizontal="center" vertical="center"/>
    </xf>
    <xf numFmtId="3" fontId="4" fillId="0" borderId="29" xfId="3" applyNumberFormat="1" applyFont="1" applyBorder="1" applyAlignment="1">
      <alignment horizontal="center" vertical="center"/>
    </xf>
    <xf numFmtId="4" fontId="8" fillId="4" borderId="6" xfId="3" applyNumberFormat="1" applyFont="1" applyFill="1" applyAlignment="1">
      <alignment horizontal="center" vertical="center"/>
    </xf>
    <xf numFmtId="3" fontId="8" fillId="4" borderId="6" xfId="3" applyNumberFormat="1" applyFont="1" applyFill="1" applyAlignment="1">
      <alignment horizontal="center" vertical="center"/>
    </xf>
    <xf numFmtId="3" fontId="4" fillId="4" borderId="6" xfId="3" applyNumberFormat="1" applyFont="1" applyFill="1" applyAlignment="1">
      <alignment horizontal="center" vertical="center"/>
    </xf>
    <xf numFmtId="1" fontId="4" fillId="4" borderId="6" xfId="3" applyNumberFormat="1" applyFont="1" applyFill="1" applyAlignment="1">
      <alignment horizontal="center" vertical="center"/>
    </xf>
    <xf numFmtId="3" fontId="4" fillId="14" borderId="4" xfId="3" applyNumberFormat="1" applyFont="1" applyFill="1" applyBorder="1" applyAlignment="1">
      <alignment horizontal="center" vertical="center"/>
    </xf>
    <xf numFmtId="3" fontId="8" fillId="14" borderId="4" xfId="3" applyNumberFormat="1" applyFont="1" applyFill="1" applyBorder="1" applyAlignment="1">
      <alignment horizontal="center" vertical="center"/>
    </xf>
    <xf numFmtId="3" fontId="8" fillId="28" borderId="93" xfId="3" applyNumberFormat="1" applyFont="1" applyFill="1" applyBorder="1" applyAlignment="1">
      <alignment horizontal="center" vertical="center"/>
    </xf>
    <xf numFmtId="9" fontId="8" fillId="28" borderId="4" xfId="3" applyNumberFormat="1" applyFont="1" applyFill="1" applyBorder="1" applyAlignment="1">
      <alignment horizontal="center" vertical="center"/>
    </xf>
    <xf numFmtId="3" fontId="8" fillId="28" borderId="4" xfId="3" applyNumberFormat="1" applyFont="1" applyFill="1" applyBorder="1" applyAlignment="1">
      <alignment horizontal="center" vertical="center"/>
    </xf>
    <xf numFmtId="168" fontId="4" fillId="14" borderId="4" xfId="3" applyNumberFormat="1" applyFont="1" applyFill="1" applyBorder="1" applyAlignment="1">
      <alignment horizontal="center" vertical="center"/>
    </xf>
    <xf numFmtId="3" fontId="4" fillId="14" borderId="29" xfId="3" applyNumberFormat="1" applyFont="1" applyFill="1" applyBorder="1" applyAlignment="1">
      <alignment horizontal="center" vertical="center"/>
    </xf>
    <xf numFmtId="0" fontId="11" fillId="16" borderId="6" xfId="3" applyFont="1" applyFill="1" applyAlignment="1">
      <alignment horizontal="center" vertical="center"/>
    </xf>
    <xf numFmtId="3" fontId="4" fillId="14" borderId="63" xfId="3" applyNumberFormat="1" applyFont="1" applyFill="1" applyBorder="1" applyAlignment="1">
      <alignment horizontal="center" vertical="center"/>
    </xf>
    <xf numFmtId="3" fontId="4" fillId="14" borderId="17" xfId="3" applyNumberFormat="1" applyFont="1" applyFill="1" applyBorder="1" applyAlignment="1">
      <alignment horizontal="center" vertical="center"/>
    </xf>
    <xf numFmtId="0" fontId="22" fillId="0" borderId="6" xfId="3" applyAlignment="1">
      <alignment vertical="center"/>
    </xf>
    <xf numFmtId="0" fontId="11" fillId="16" borderId="6" xfId="3" applyFont="1" applyFill="1" applyAlignment="1">
      <alignment vertical="center"/>
    </xf>
    <xf numFmtId="4" fontId="4" fillId="4" borderId="6" xfId="3" applyNumberFormat="1" applyFont="1" applyFill="1" applyAlignment="1">
      <alignment vertical="center"/>
    </xf>
    <xf numFmtId="4" fontId="8" fillId="4" borderId="6" xfId="3" applyNumberFormat="1" applyFont="1" applyFill="1" applyAlignment="1">
      <alignment vertical="center"/>
    </xf>
    <xf numFmtId="0" fontId="4" fillId="4" borderId="6" xfId="3" applyFont="1" applyFill="1" applyAlignment="1">
      <alignment vertical="center"/>
    </xf>
    <xf numFmtId="4" fontId="38" fillId="25" borderId="26" xfId="3" applyNumberFormat="1" applyFont="1" applyFill="1" applyBorder="1" applyAlignment="1">
      <alignment horizontal="center" vertical="center"/>
    </xf>
    <xf numFmtId="4" fontId="38" fillId="25" borderId="46" xfId="3" applyNumberFormat="1" applyFont="1" applyFill="1" applyBorder="1" applyAlignment="1">
      <alignment horizontal="center" vertical="center"/>
    </xf>
    <xf numFmtId="4" fontId="38" fillId="25" borderId="28" xfId="3" applyNumberFormat="1" applyFont="1" applyFill="1" applyBorder="1" applyAlignment="1">
      <alignment horizontal="center" vertical="center"/>
    </xf>
    <xf numFmtId="4" fontId="35" fillId="4" borderId="6" xfId="3" applyNumberFormat="1" applyFont="1" applyFill="1" applyAlignment="1">
      <alignment vertical="center"/>
    </xf>
    <xf numFmtId="4" fontId="4" fillId="0" borderId="92" xfId="3" applyNumberFormat="1" applyFont="1" applyBorder="1" applyAlignment="1">
      <alignment vertical="center"/>
    </xf>
    <xf numFmtId="4" fontId="4" fillId="0" borderId="63" xfId="3" applyNumberFormat="1" applyFont="1" applyBorder="1" applyAlignment="1">
      <alignment vertical="center"/>
    </xf>
    <xf numFmtId="4" fontId="35" fillId="0" borderId="92" xfId="3" applyNumberFormat="1" applyFont="1" applyBorder="1" applyAlignment="1">
      <alignment vertical="center"/>
    </xf>
    <xf numFmtId="4" fontId="4" fillId="0" borderId="6" xfId="3" applyNumberFormat="1" applyFont="1" applyAlignment="1">
      <alignment vertical="center"/>
    </xf>
    <xf numFmtId="0" fontId="8" fillId="4" borderId="6" xfId="3" applyFont="1" applyFill="1" applyAlignment="1">
      <alignment vertical="center"/>
    </xf>
    <xf numFmtId="0" fontId="35" fillId="0" borderId="92" xfId="3" applyFont="1" applyBorder="1" applyAlignment="1">
      <alignment vertical="center"/>
    </xf>
    <xf numFmtId="4" fontId="8" fillId="0" borderId="1" xfId="3" applyNumberFormat="1" applyFont="1" applyBorder="1" applyAlignment="1">
      <alignment vertical="center"/>
    </xf>
    <xf numFmtId="4" fontId="4" fillId="0" borderId="15" xfId="3" applyNumberFormat="1" applyFont="1" applyBorder="1" applyAlignment="1">
      <alignment vertical="center"/>
    </xf>
    <xf numFmtId="4" fontId="4" fillId="0" borderId="82" xfId="3" applyNumberFormat="1" applyFont="1" applyBorder="1" applyAlignment="1">
      <alignment vertical="center"/>
    </xf>
    <xf numFmtId="0" fontId="38" fillId="25" borderId="26" xfId="3" applyFont="1" applyFill="1" applyBorder="1" applyAlignment="1">
      <alignment vertical="center"/>
    </xf>
    <xf numFmtId="4" fontId="39" fillId="25" borderId="46" xfId="3" applyNumberFormat="1" applyFont="1" applyFill="1" applyBorder="1" applyAlignment="1">
      <alignment vertical="center"/>
    </xf>
    <xf numFmtId="0" fontId="4" fillId="0" borderId="1" xfId="3" applyFont="1" applyBorder="1" applyAlignment="1">
      <alignment horizontal="left" vertical="center"/>
    </xf>
    <xf numFmtId="3" fontId="4" fillId="4" borderId="6" xfId="3" applyNumberFormat="1" applyFont="1" applyFill="1" applyAlignment="1">
      <alignment vertical="center"/>
    </xf>
    <xf numFmtId="0" fontId="4" fillId="23" borderId="6" xfId="3" applyFont="1" applyFill="1" applyAlignment="1">
      <alignment vertical="center"/>
    </xf>
    <xf numFmtId="3" fontId="8" fillId="28" borderId="18" xfId="3" applyNumberFormat="1" applyFont="1" applyFill="1" applyBorder="1" applyAlignment="1">
      <alignment horizontal="center" vertical="center"/>
    </xf>
    <xf numFmtId="3" fontId="4" fillId="0" borderId="94" xfId="3" applyNumberFormat="1" applyFont="1" applyBorder="1" applyAlignment="1">
      <alignment horizontal="center" vertical="center"/>
    </xf>
    <xf numFmtId="4" fontId="4" fillId="0" borderId="4" xfId="3" applyNumberFormat="1" applyFont="1" applyBorder="1" applyAlignment="1">
      <alignment horizontal="center" vertical="center"/>
    </xf>
    <xf numFmtId="3" fontId="8" fillId="0" borderId="4" xfId="3" applyNumberFormat="1" applyFont="1" applyBorder="1" applyAlignment="1">
      <alignment horizontal="center" vertical="center"/>
    </xf>
    <xf numFmtId="0" fontId="40" fillId="4" borderId="87" xfId="3" applyFont="1" applyFill="1" applyBorder="1" applyAlignment="1">
      <alignment vertical="center"/>
    </xf>
    <xf numFmtId="0" fontId="4" fillId="0" borderId="87" xfId="3" applyFont="1" applyBorder="1" applyAlignment="1">
      <alignment vertical="center"/>
    </xf>
    <xf numFmtId="0" fontId="40" fillId="0" borderId="87" xfId="3" applyFont="1" applyBorder="1" applyAlignment="1">
      <alignment vertical="center"/>
    </xf>
    <xf numFmtId="4" fontId="38" fillId="25" borderId="92" xfId="3" applyNumberFormat="1" applyFont="1" applyFill="1" applyBorder="1" applyAlignment="1">
      <alignment horizontal="center" vertical="center"/>
    </xf>
    <xf numFmtId="0" fontId="38" fillId="16" borderId="6" xfId="3" applyFont="1" applyFill="1" applyAlignment="1">
      <alignment horizontal="left" vertical="center"/>
    </xf>
    <xf numFmtId="9" fontId="39" fillId="16" borderId="63" xfId="3" applyNumberFormat="1" applyFont="1" applyFill="1" applyBorder="1" applyAlignment="1">
      <alignment horizontal="center" vertical="center"/>
    </xf>
    <xf numFmtId="9" fontId="4" fillId="0" borderId="63" xfId="3" applyNumberFormat="1" applyFont="1" applyBorder="1" applyAlignment="1">
      <alignment horizontal="center" vertical="center"/>
    </xf>
    <xf numFmtId="9" fontId="8" fillId="14" borderId="3" xfId="3" applyNumberFormat="1" applyFont="1" applyFill="1" applyBorder="1" applyAlignment="1">
      <alignment horizontal="center" vertical="center"/>
    </xf>
    <xf numFmtId="4" fontId="38" fillId="24" borderId="95" xfId="3" applyNumberFormat="1" applyFont="1" applyFill="1" applyBorder="1" applyAlignment="1">
      <alignment horizontal="center" vertical="center"/>
    </xf>
    <xf numFmtId="4" fontId="39" fillId="25" borderId="96" xfId="3" applyNumberFormat="1" applyFont="1" applyFill="1" applyBorder="1" applyAlignment="1">
      <alignment horizontal="center" vertical="center"/>
    </xf>
    <xf numFmtId="0" fontId="39" fillId="26" borderId="97" xfId="3" applyFont="1" applyFill="1" applyBorder="1" applyAlignment="1">
      <alignment horizontal="center" vertical="center"/>
    </xf>
    <xf numFmtId="0" fontId="39" fillId="27" borderId="97" xfId="3" applyFont="1" applyFill="1" applyBorder="1" applyAlignment="1">
      <alignment horizontal="center" vertical="center"/>
    </xf>
    <xf numFmtId="0" fontId="4" fillId="28" borderId="97" xfId="3" applyFont="1" applyFill="1" applyBorder="1" applyAlignment="1">
      <alignment horizontal="center" vertical="center"/>
    </xf>
    <xf numFmtId="168" fontId="39" fillId="27" borderId="97" xfId="3" applyNumberFormat="1" applyFont="1" applyFill="1" applyBorder="1" applyAlignment="1">
      <alignment horizontal="center" vertical="center"/>
    </xf>
    <xf numFmtId="168" fontId="4" fillId="28" borderId="97" xfId="3" applyNumberFormat="1" applyFont="1" applyFill="1" applyBorder="1" applyAlignment="1">
      <alignment horizontal="center" vertical="center"/>
    </xf>
    <xf numFmtId="10" fontId="39" fillId="27" borderId="97" xfId="3" applyNumberFormat="1" applyFont="1" applyFill="1" applyBorder="1" applyAlignment="1">
      <alignment horizontal="center" vertical="center"/>
    </xf>
    <xf numFmtId="0" fontId="4" fillId="0" borderId="97" xfId="3" applyFont="1" applyBorder="1" applyAlignment="1">
      <alignment horizontal="center" vertical="center"/>
    </xf>
    <xf numFmtId="168" fontId="39" fillId="0" borderId="97" xfId="3" applyNumberFormat="1" applyFont="1" applyBorder="1" applyAlignment="1">
      <alignment horizontal="center" vertical="center"/>
    </xf>
    <xf numFmtId="0" fontId="39" fillId="16" borderId="97" xfId="3" applyFont="1" applyFill="1" applyBorder="1" applyAlignment="1">
      <alignment horizontal="center" vertical="center"/>
    </xf>
    <xf numFmtId="0" fontId="38" fillId="26" borderId="97" xfId="3" applyFont="1" applyFill="1" applyBorder="1" applyAlignment="1">
      <alignment horizontal="center" vertical="center"/>
    </xf>
    <xf numFmtId="4" fontId="4" fillId="0" borderId="4" xfId="3" applyNumberFormat="1" applyFont="1" applyBorder="1" applyAlignment="1">
      <alignment horizontal="left" vertical="center"/>
    </xf>
    <xf numFmtId="4" fontId="4" fillId="0" borderId="94" xfId="3" applyNumberFormat="1" applyFont="1" applyBorder="1" applyAlignment="1">
      <alignment horizontal="left" vertical="center"/>
    </xf>
    <xf numFmtId="4" fontId="8" fillId="0" borderId="18" xfId="3" applyNumberFormat="1" applyFont="1" applyBorder="1" applyAlignment="1">
      <alignment horizontal="left" vertical="center"/>
    </xf>
    <xf numFmtId="4" fontId="8" fillId="0" borderId="4" xfId="3" applyNumberFormat="1" applyFont="1" applyBorder="1" applyAlignment="1">
      <alignment horizontal="left" vertical="center"/>
    </xf>
    <xf numFmtId="4" fontId="4" fillId="0" borderId="29" xfId="3" applyNumberFormat="1" applyFont="1" applyBorder="1" applyAlignment="1">
      <alignment horizontal="left" vertical="center"/>
    </xf>
    <xf numFmtId="4" fontId="8" fillId="0" borderId="93" xfId="3" applyNumberFormat="1" applyFont="1" applyBorder="1" applyAlignment="1">
      <alignment horizontal="left" vertical="center"/>
    </xf>
    <xf numFmtId="0" fontId="8" fillId="0" borderId="4" xfId="3" applyFont="1" applyBorder="1" applyAlignment="1">
      <alignment horizontal="left" vertical="center"/>
    </xf>
    <xf numFmtId="9" fontId="13" fillId="31" borderId="97" xfId="3" applyNumberFormat="1" applyFont="1" applyFill="1" applyBorder="1" applyAlignment="1">
      <alignment horizontal="center" vertical="center"/>
    </xf>
    <xf numFmtId="0" fontId="22" fillId="0" borderId="87" xfId="3" applyBorder="1" applyAlignment="1">
      <alignment vertical="center"/>
    </xf>
    <xf numFmtId="4" fontId="4" fillId="4" borderId="87" xfId="3" applyNumberFormat="1" applyFont="1" applyFill="1" applyBorder="1" applyAlignment="1">
      <alignment vertical="center"/>
    </xf>
    <xf numFmtId="0" fontId="4" fillId="4" borderId="87" xfId="3" applyFont="1" applyFill="1" applyBorder="1" applyAlignment="1">
      <alignment vertical="center"/>
    </xf>
    <xf numFmtId="168" fontId="39" fillId="24" borderId="97" xfId="3" applyNumberFormat="1" applyFont="1" applyFill="1" applyBorder="1" applyAlignment="1">
      <alignment horizontal="center" vertical="center"/>
    </xf>
    <xf numFmtId="168" fontId="13" fillId="31" borderId="97" xfId="3" applyNumberFormat="1" applyFont="1" applyFill="1" applyBorder="1" applyAlignment="1">
      <alignment horizontal="center" vertical="center"/>
    </xf>
    <xf numFmtId="9" fontId="39" fillId="27" borderId="97" xfId="3" applyNumberFormat="1" applyFont="1" applyFill="1" applyBorder="1" applyAlignment="1">
      <alignment horizontal="center" vertical="center"/>
    </xf>
    <xf numFmtId="9" fontId="39" fillId="24" borderId="97" xfId="3" applyNumberFormat="1" applyFont="1" applyFill="1" applyBorder="1" applyAlignment="1">
      <alignment horizontal="center" vertical="center"/>
    </xf>
    <xf numFmtId="1" fontId="39" fillId="24" borderId="97" xfId="3" applyNumberFormat="1" applyFont="1" applyFill="1" applyBorder="1" applyAlignment="1">
      <alignment horizontal="center" vertical="center"/>
    </xf>
    <xf numFmtId="3" fontId="4" fillId="14" borderId="94" xfId="3" applyNumberFormat="1" applyFont="1" applyFill="1" applyBorder="1" applyAlignment="1">
      <alignment horizontal="center" vertical="center"/>
    </xf>
    <xf numFmtId="3" fontId="8" fillId="0" borderId="1" xfId="3" applyNumberFormat="1" applyFont="1" applyBorder="1" applyAlignment="1">
      <alignment horizontal="center" vertical="center"/>
    </xf>
    <xf numFmtId="168" fontId="4" fillId="14" borderId="1" xfId="3" applyNumberFormat="1" applyFont="1" applyFill="1" applyBorder="1" applyAlignment="1">
      <alignment horizontal="center" vertical="center"/>
    </xf>
    <xf numFmtId="3" fontId="4" fillId="14" borderId="26" xfId="3" applyNumberFormat="1" applyFont="1" applyFill="1" applyBorder="1" applyAlignment="1">
      <alignment horizontal="center" vertical="center"/>
    </xf>
    <xf numFmtId="3" fontId="4" fillId="14" borderId="98" xfId="3" applyNumberFormat="1" applyFont="1" applyFill="1" applyBorder="1" applyAlignment="1">
      <alignment horizontal="center" vertical="center"/>
    </xf>
    <xf numFmtId="3" fontId="8" fillId="28" borderId="15" xfId="3" applyNumberFormat="1" applyFont="1" applyFill="1" applyBorder="1" applyAlignment="1">
      <alignment horizontal="center" vertical="center"/>
    </xf>
    <xf numFmtId="9" fontId="8" fillId="28" borderId="1" xfId="3" applyNumberFormat="1" applyFont="1" applyFill="1" applyBorder="1" applyAlignment="1">
      <alignment horizontal="center" vertical="center"/>
    </xf>
    <xf numFmtId="3" fontId="8" fillId="28" borderId="1" xfId="3" applyNumberFormat="1" applyFont="1" applyFill="1" applyBorder="1" applyAlignment="1">
      <alignment horizontal="center" vertical="center"/>
    </xf>
    <xf numFmtId="3" fontId="8" fillId="28" borderId="99" xfId="3" applyNumberFormat="1" applyFont="1" applyFill="1" applyBorder="1" applyAlignment="1">
      <alignment horizontal="center" vertical="center"/>
    </xf>
    <xf numFmtId="3" fontId="8" fillId="14" borderId="1" xfId="3" applyNumberFormat="1" applyFont="1" applyFill="1" applyBorder="1" applyAlignment="1">
      <alignment horizontal="center" vertical="center"/>
    </xf>
    <xf numFmtId="3" fontId="4" fillId="0" borderId="1" xfId="3" applyNumberFormat="1" applyFont="1" applyBorder="1" applyAlignment="1">
      <alignment horizontal="center" vertical="center"/>
    </xf>
    <xf numFmtId="10" fontId="13" fillId="31" borderId="97" xfId="3" applyNumberFormat="1" applyFont="1" applyFill="1" applyBorder="1" applyAlignment="1">
      <alignment horizontal="center" vertical="center"/>
    </xf>
    <xf numFmtId="0" fontId="2" fillId="2" borderId="0" xfId="0" applyFont="1" applyFill="1" applyAlignment="1">
      <alignment vertical="center"/>
    </xf>
    <xf numFmtId="0" fontId="2" fillId="2" borderId="6" xfId="0" applyFont="1" applyFill="1" applyBorder="1" applyAlignment="1">
      <alignment horizontal="left" vertical="center"/>
    </xf>
    <xf numFmtId="0" fontId="0" fillId="0" borderId="0" xfId="0"/>
    <xf numFmtId="0" fontId="13" fillId="0" borderId="3" xfId="0" applyFont="1" applyBorder="1"/>
    <xf numFmtId="0" fontId="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3" fillId="13" borderId="1" xfId="0" applyFont="1" applyFill="1" applyBorder="1" applyAlignment="1">
      <alignment vertical="center"/>
    </xf>
    <xf numFmtId="0" fontId="13" fillId="14" borderId="2" xfId="0" applyFont="1" applyFill="1" applyBorder="1" applyAlignment="1">
      <alignment vertical="center"/>
    </xf>
    <xf numFmtId="0" fontId="16" fillId="15" borderId="69" xfId="0" applyFont="1" applyFill="1" applyBorder="1" applyAlignment="1">
      <alignment vertical="center"/>
    </xf>
    <xf numFmtId="0" fontId="11" fillId="16" borderId="72" xfId="0" applyFont="1" applyFill="1" applyBorder="1" applyAlignment="1">
      <alignment vertical="center"/>
    </xf>
    <xf numFmtId="0" fontId="16" fillId="15" borderId="72" xfId="0" applyFont="1" applyFill="1" applyBorder="1" applyAlignment="1">
      <alignment vertical="center"/>
    </xf>
    <xf numFmtId="0" fontId="3" fillId="0" borderId="76" xfId="0" applyFont="1" applyBorder="1" applyAlignment="1">
      <alignment vertical="center"/>
    </xf>
    <xf numFmtId="0" fontId="13" fillId="0" borderId="77" xfId="0" applyFont="1" applyBorder="1" applyAlignment="1">
      <alignment vertical="center"/>
    </xf>
    <xf numFmtId="0" fontId="13" fillId="0" borderId="78" xfId="0" applyFont="1" applyBorder="1" applyAlignment="1">
      <alignment vertical="center"/>
    </xf>
    <xf numFmtId="0" fontId="11" fillId="16" borderId="75" xfId="0" applyFont="1" applyFill="1" applyBorder="1" applyAlignment="1">
      <alignment vertical="center"/>
    </xf>
    <xf numFmtId="0" fontId="22" fillId="14" borderId="6" xfId="0" applyFont="1" applyFill="1" applyBorder="1" applyAlignment="1">
      <alignment horizontal="center" vertical="center"/>
    </xf>
    <xf numFmtId="0" fontId="16" fillId="16" borderId="0" xfId="0" applyFont="1" applyFill="1" applyAlignment="1">
      <alignment horizontal="center"/>
    </xf>
    <xf numFmtId="0" fontId="11" fillId="16" borderId="0" xfId="0" applyFont="1" applyFill="1"/>
    <xf numFmtId="0" fontId="3" fillId="0" borderId="1" xfId="0" applyFont="1" applyBorder="1" applyAlignment="1">
      <alignment horizontal="center"/>
    </xf>
    <xf numFmtId="0" fontId="3" fillId="0" borderId="0" xfId="0" applyFont="1" applyAlignment="1">
      <alignment horizontal="center"/>
    </xf>
    <xf numFmtId="10" fontId="3" fillId="0" borderId="1" xfId="0" applyNumberFormat="1" applyFont="1" applyBorder="1" applyAlignment="1">
      <alignment horizontal="center"/>
    </xf>
    <xf numFmtId="0" fontId="16" fillId="19" borderId="89" xfId="0" applyFont="1" applyFill="1" applyBorder="1" applyAlignment="1">
      <alignment horizontal="center" vertical="center"/>
    </xf>
    <xf numFmtId="0" fontId="16" fillId="19" borderId="90" xfId="0" applyFont="1" applyFill="1" applyBorder="1" applyAlignment="1">
      <alignment horizontal="center" vertical="center"/>
    </xf>
    <xf numFmtId="0" fontId="16" fillId="19" borderId="91" xfId="0" applyFont="1" applyFill="1" applyBorder="1" applyAlignment="1">
      <alignment horizontal="center" vertical="center"/>
    </xf>
    <xf numFmtId="0" fontId="16" fillId="19" borderId="89" xfId="0" applyFont="1" applyFill="1" applyBorder="1" applyAlignment="1">
      <alignment horizontal="left" vertical="center" indent="6"/>
    </xf>
    <xf numFmtId="0" fontId="16" fillId="19" borderId="90" xfId="0" applyFont="1" applyFill="1" applyBorder="1" applyAlignment="1">
      <alignment horizontal="left" vertical="center" indent="6"/>
    </xf>
    <xf numFmtId="0" fontId="16" fillId="19" borderId="91" xfId="0" applyFont="1" applyFill="1" applyBorder="1" applyAlignment="1">
      <alignment horizontal="left" vertical="center" indent="6"/>
    </xf>
    <xf numFmtId="0" fontId="4" fillId="4" borderId="87" xfId="0" applyFont="1" applyFill="1" applyBorder="1" applyAlignment="1">
      <alignment horizontal="left" vertical="center" wrapText="1"/>
    </xf>
    <xf numFmtId="0" fontId="13" fillId="0" borderId="87" xfId="0" applyFont="1" applyBorder="1" applyAlignment="1">
      <alignment vertical="center"/>
    </xf>
    <xf numFmtId="0" fontId="4" fillId="0" borderId="1" xfId="3" applyFont="1" applyBorder="1" applyAlignment="1">
      <alignment horizontal="left" vertical="center"/>
    </xf>
    <xf numFmtId="0" fontId="13" fillId="0" borderId="2" xfId="3" applyFont="1" applyBorder="1" applyAlignment="1">
      <alignment vertical="center"/>
    </xf>
    <xf numFmtId="0" fontId="13" fillId="0" borderId="3" xfId="3" applyFont="1" applyBorder="1" applyAlignment="1">
      <alignment vertical="center"/>
    </xf>
    <xf numFmtId="0" fontId="4" fillId="0" borderId="2" xfId="3" applyFont="1" applyBorder="1" applyAlignment="1">
      <alignment horizontal="left" vertical="center"/>
    </xf>
    <xf numFmtId="0" fontId="4" fillId="0" borderId="3" xfId="3" applyFont="1" applyBorder="1" applyAlignment="1">
      <alignment horizontal="left" vertical="center"/>
    </xf>
    <xf numFmtId="4" fontId="38" fillId="29" borderId="1" xfId="3" applyNumberFormat="1" applyFont="1" applyFill="1" applyBorder="1" applyAlignment="1">
      <alignment horizontal="left" vertical="center"/>
    </xf>
    <xf numFmtId="0" fontId="39" fillId="16" borderId="3" xfId="3" applyFont="1" applyFill="1" applyBorder="1" applyAlignment="1">
      <alignment vertical="center"/>
    </xf>
    <xf numFmtId="0" fontId="38" fillId="26" borderId="1" xfId="3" applyFont="1" applyFill="1" applyBorder="1" applyAlignment="1">
      <alignment horizontal="left" vertical="center"/>
    </xf>
    <xf numFmtId="0" fontId="39" fillId="16" borderId="2" xfId="3" applyFont="1" applyFill="1" applyBorder="1" applyAlignment="1">
      <alignment vertical="center"/>
    </xf>
    <xf numFmtId="0" fontId="13" fillId="0" borderId="1" xfId="3" applyFont="1" applyBorder="1" applyAlignment="1">
      <alignment horizontal="left" vertical="center"/>
    </xf>
    <xf numFmtId="4" fontId="36" fillId="25" borderId="26" xfId="3" applyNumberFormat="1" applyFont="1" applyFill="1" applyBorder="1" applyAlignment="1">
      <alignment horizontal="center" vertical="center"/>
    </xf>
    <xf numFmtId="4" fontId="36" fillId="25" borderId="28" xfId="3" applyNumberFormat="1" applyFont="1" applyFill="1" applyBorder="1" applyAlignment="1">
      <alignment horizontal="center" vertical="center"/>
    </xf>
    <xf numFmtId="4" fontId="38" fillId="25" borderId="26" xfId="3" applyNumberFormat="1" applyFont="1" applyFill="1" applyBorder="1" applyAlignment="1">
      <alignment horizontal="center" vertical="center"/>
    </xf>
    <xf numFmtId="4" fontId="38" fillId="25" borderId="46" xfId="3" applyNumberFormat="1" applyFont="1" applyFill="1" applyBorder="1" applyAlignment="1">
      <alignment horizontal="center" vertical="center"/>
    </xf>
    <xf numFmtId="4" fontId="38" fillId="25" borderId="28" xfId="3" applyNumberFormat="1" applyFont="1" applyFill="1" applyBorder="1" applyAlignment="1">
      <alignment horizontal="center" vertical="center"/>
    </xf>
    <xf numFmtId="0" fontId="38" fillId="16" borderId="15" xfId="3" applyFont="1" applyFill="1" applyBorder="1" applyAlignment="1">
      <alignment horizontal="left" vertical="center"/>
    </xf>
    <xf numFmtId="0" fontId="38" fillId="16" borderId="82" xfId="3" applyFont="1" applyFill="1" applyBorder="1" applyAlignment="1">
      <alignment horizontal="left" vertical="center"/>
    </xf>
    <xf numFmtId="0" fontId="38" fillId="16" borderId="1" xfId="3" applyFont="1" applyFill="1" applyBorder="1" applyAlignment="1">
      <alignment horizontal="left" vertical="center"/>
    </xf>
    <xf numFmtId="0" fontId="39" fillId="33" borderId="0" xfId="0" applyFont="1" applyFill="1" applyAlignment="1">
      <alignment vertical="center"/>
    </xf>
    <xf numFmtId="0" fontId="2" fillId="5" borderId="0" xfId="0" applyFont="1" applyFill="1" applyAlignment="1">
      <alignment horizontal="left" vertical="center"/>
    </xf>
    <xf numFmtId="0" fontId="11" fillId="16" borderId="0" xfId="0" applyFont="1" applyFill="1" applyAlignment="1">
      <alignment vertical="center"/>
    </xf>
    <xf numFmtId="0" fontId="0" fillId="14" borderId="0" xfId="0" applyFill="1"/>
    <xf numFmtId="0" fontId="22" fillId="14" borderId="0" xfId="0" applyFont="1" applyFill="1"/>
    <xf numFmtId="3" fontId="0" fillId="0" borderId="0" xfId="0" applyNumberFormat="1" applyAlignment="1">
      <alignment horizontal="center" vertical="center"/>
    </xf>
    <xf numFmtId="3" fontId="0" fillId="14" borderId="0" xfId="0" applyNumberFormat="1" applyFill="1" applyAlignment="1">
      <alignment horizontal="center" vertical="center"/>
    </xf>
    <xf numFmtId="9" fontId="0" fillId="0" borderId="0" xfId="1" applyFont="1" applyAlignment="1">
      <alignment horizontal="center" vertical="center"/>
    </xf>
    <xf numFmtId="0" fontId="2" fillId="0" borderId="0" xfId="0" applyFont="1" applyAlignment="1">
      <alignment horizontal="right" vertical="center"/>
    </xf>
    <xf numFmtId="0" fontId="14" fillId="0" borderId="0" xfId="0" applyFont="1" applyAlignment="1">
      <alignment horizontal="right" vertical="center"/>
    </xf>
    <xf numFmtId="0" fontId="15" fillId="6" borderId="0" xfId="0" applyFont="1" applyFill="1" applyAlignment="1">
      <alignment horizontal="center" vertical="center"/>
    </xf>
    <xf numFmtId="0" fontId="0" fillId="0" borderId="0" xfId="0" applyAlignment="1">
      <alignment vertical="center"/>
    </xf>
    <xf numFmtId="0" fontId="16" fillId="6" borderId="0" xfId="0" applyFont="1" applyFill="1" applyAlignment="1">
      <alignment horizontal="center" vertical="center"/>
    </xf>
    <xf numFmtId="0" fontId="3" fillId="6" borderId="0" xfId="0" applyFont="1" applyFill="1" applyAlignment="1">
      <alignment vertical="center"/>
    </xf>
    <xf numFmtId="0" fontId="3" fillId="8" borderId="0" xfId="0" applyFont="1" applyFill="1" applyAlignment="1">
      <alignment vertical="center"/>
    </xf>
    <xf numFmtId="0" fontId="14" fillId="0" borderId="0" xfId="0" applyFont="1" applyAlignment="1">
      <alignment horizontal="center" vertical="center"/>
    </xf>
    <xf numFmtId="0" fontId="14" fillId="0" borderId="5" xfId="0" applyFont="1" applyBorder="1" applyAlignment="1">
      <alignment horizontal="right" vertical="center"/>
    </xf>
    <xf numFmtId="0" fontId="14" fillId="0" borderId="5" xfId="0" applyFont="1" applyBorder="1" applyAlignment="1">
      <alignment horizontal="center" vertical="center"/>
    </xf>
    <xf numFmtId="0" fontId="0" fillId="0" borderId="5" xfId="0" applyBorder="1" applyAlignment="1">
      <alignment vertical="center"/>
    </xf>
    <xf numFmtId="0" fontId="3" fillId="0" borderId="5" xfId="0" applyFont="1" applyBorder="1" applyAlignment="1">
      <alignment vertical="center"/>
    </xf>
    <xf numFmtId="0" fontId="15" fillId="6" borderId="0" xfId="0" applyFont="1" applyFill="1" applyAlignment="1">
      <alignment horizontal="center" vertical="center"/>
    </xf>
    <xf numFmtId="2" fontId="15" fillId="6" borderId="6" xfId="0" applyNumberFormat="1" applyFont="1" applyFill="1" applyBorder="1" applyAlignment="1">
      <alignment horizontal="center" vertical="center"/>
    </xf>
    <xf numFmtId="4" fontId="15" fillId="6" borderId="6" xfId="0" applyNumberFormat="1" applyFont="1" applyFill="1" applyBorder="1" applyAlignment="1">
      <alignment horizontal="center" vertical="center"/>
    </xf>
    <xf numFmtId="0" fontId="15" fillId="6" borderId="6" xfId="0" applyFont="1" applyFill="1" applyBorder="1" applyAlignment="1">
      <alignment horizontal="center" vertical="center"/>
    </xf>
    <xf numFmtId="164" fontId="15" fillId="6" borderId="0" xfId="0" applyNumberFormat="1" applyFont="1" applyFill="1" applyAlignment="1">
      <alignment horizontal="center" vertical="center"/>
    </xf>
    <xf numFmtId="9" fontId="10" fillId="7" borderId="0" xfId="0" applyNumberFormat="1" applyFont="1" applyFill="1" applyAlignment="1">
      <alignment horizontal="center" vertical="center"/>
    </xf>
    <xf numFmtId="9" fontId="15" fillId="6" borderId="6" xfId="0" applyNumberFormat="1" applyFont="1" applyFill="1" applyBorder="1" applyAlignment="1">
      <alignment horizontal="center" vertical="center"/>
    </xf>
    <xf numFmtId="166" fontId="16" fillId="7" borderId="0" xfId="0" applyNumberFormat="1" applyFont="1" applyFill="1" applyAlignment="1">
      <alignment horizontal="center" vertical="center"/>
    </xf>
    <xf numFmtId="164" fontId="16" fillId="7" borderId="0" xfId="0" applyNumberFormat="1" applyFont="1" applyFill="1" applyAlignment="1">
      <alignment horizontal="center" vertical="center"/>
    </xf>
    <xf numFmtId="2" fontId="15" fillId="7" borderId="6" xfId="0" applyNumberFormat="1" applyFont="1" applyFill="1" applyBorder="1" applyAlignment="1">
      <alignment horizontal="center" vertical="center"/>
    </xf>
    <xf numFmtId="2" fontId="15" fillId="0" borderId="6" xfId="0" applyNumberFormat="1" applyFont="1" applyBorder="1" applyAlignment="1">
      <alignment horizontal="center" vertical="center"/>
    </xf>
    <xf numFmtId="14" fontId="16" fillId="7" borderId="0" xfId="0" applyNumberFormat="1" applyFont="1" applyFill="1" applyAlignment="1">
      <alignment horizontal="center" vertical="center"/>
    </xf>
    <xf numFmtId="9" fontId="15" fillId="6" borderId="0" xfId="0" applyNumberFormat="1" applyFont="1" applyFill="1" applyAlignment="1">
      <alignment horizontal="center" vertical="center"/>
    </xf>
    <xf numFmtId="9" fontId="15" fillId="0" borderId="0" xfId="0" applyNumberFormat="1" applyFont="1" applyAlignment="1">
      <alignment horizontal="center" vertical="center"/>
    </xf>
    <xf numFmtId="9" fontId="15" fillId="6" borderId="6" xfId="1" applyFont="1" applyFill="1" applyBorder="1" applyAlignment="1">
      <alignment horizontal="center" vertical="center"/>
    </xf>
    <xf numFmtId="9" fontId="15" fillId="0" borderId="6" xfId="0" applyNumberFormat="1" applyFont="1" applyBorder="1" applyAlignment="1">
      <alignment horizontal="center" vertical="center"/>
    </xf>
    <xf numFmtId="14" fontId="0" fillId="0" borderId="0" xfId="0" applyNumberFormat="1" applyAlignment="1">
      <alignment vertical="center"/>
    </xf>
    <xf numFmtId="0" fontId="17" fillId="0" borderId="0" xfId="0" applyFont="1" applyAlignment="1">
      <alignment vertical="center"/>
    </xf>
    <xf numFmtId="2" fontId="16" fillId="7" borderId="0" xfId="0" applyNumberFormat="1" applyFont="1" applyFill="1" applyAlignment="1">
      <alignment horizontal="center" vertical="center"/>
    </xf>
    <xf numFmtId="1" fontId="16" fillId="7" borderId="0" xfId="0" applyNumberFormat="1" applyFont="1" applyFill="1" applyAlignment="1">
      <alignment horizontal="center" vertical="center"/>
    </xf>
    <xf numFmtId="0" fontId="0" fillId="0" borderId="5" xfId="0" applyBorder="1" applyAlignment="1">
      <alignment horizontal="center" vertical="center"/>
    </xf>
    <xf numFmtId="0" fontId="14" fillId="2" borderId="7" xfId="0" applyFont="1" applyFill="1" applyBorder="1" applyAlignment="1">
      <alignment vertical="center"/>
    </xf>
    <xf numFmtId="0" fontId="14"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 fontId="0" fillId="2" borderId="11" xfId="0" applyNumberFormat="1" applyFill="1" applyBorder="1" applyAlignment="1">
      <alignment horizontal="center" vertical="center"/>
    </xf>
    <xf numFmtId="1" fontId="0" fillId="2" borderId="12" xfId="0" applyNumberFormat="1" applyFill="1" applyBorder="1" applyAlignment="1">
      <alignment horizontal="center" vertical="center"/>
    </xf>
    <xf numFmtId="1" fontId="0" fillId="2" borderId="13" xfId="0" applyNumberFormat="1" applyFill="1" applyBorder="1" applyAlignment="1">
      <alignment horizontal="center" vertical="center"/>
    </xf>
    <xf numFmtId="0" fontId="14" fillId="7" borderId="14" xfId="0" applyFont="1" applyFill="1" applyBorder="1" applyAlignment="1">
      <alignment horizontal="center" vertical="center"/>
    </xf>
    <xf numFmtId="0" fontId="14" fillId="0" borderId="15" xfId="0" applyFont="1" applyBorder="1" applyAlignment="1">
      <alignment vertical="center"/>
    </xf>
    <xf numFmtId="0" fontId="14" fillId="0" borderId="16" xfId="0" applyFont="1" applyBorder="1" applyAlignment="1">
      <alignment horizontal="center" vertical="center"/>
    </xf>
    <xf numFmtId="1" fontId="3" fillId="9" borderId="17" xfId="0" applyNumberFormat="1" applyFont="1" applyFill="1" applyBorder="1" applyAlignment="1">
      <alignment horizontal="center" vertical="center"/>
    </xf>
    <xf numFmtId="1" fontId="3" fillId="9" borderId="18" xfId="0" applyNumberFormat="1" applyFont="1" applyFill="1" applyBorder="1" applyAlignment="1">
      <alignment horizontal="center" vertical="center"/>
    </xf>
    <xf numFmtId="1" fontId="0" fillId="2" borderId="19" xfId="0" applyNumberFormat="1" applyFill="1" applyBorder="1" applyAlignment="1">
      <alignment horizontal="center" vertical="center"/>
    </xf>
    <xf numFmtId="1" fontId="0" fillId="2" borderId="20" xfId="0" applyNumberFormat="1" applyFill="1" applyBorder="1" applyAlignment="1">
      <alignment horizontal="center" vertical="center"/>
    </xf>
    <xf numFmtId="1" fontId="0" fillId="2" borderId="21" xfId="0" applyNumberFormat="1" applyFill="1" applyBorder="1" applyAlignment="1">
      <alignment horizontal="center" vertical="center"/>
    </xf>
    <xf numFmtId="1" fontId="14" fillId="10" borderId="17" xfId="0" applyNumberFormat="1" applyFont="1" applyFill="1" applyBorder="1" applyAlignment="1">
      <alignment horizontal="center" vertical="center"/>
    </xf>
    <xf numFmtId="0" fontId="14" fillId="0" borderId="1" xfId="0" applyFont="1" applyBorder="1" applyAlignment="1">
      <alignment vertical="center"/>
    </xf>
    <xf numFmtId="0" fontId="14" fillId="0" borderId="22" xfId="0" applyFont="1" applyBorder="1" applyAlignment="1">
      <alignment horizontal="center" vertical="center"/>
    </xf>
    <xf numFmtId="1" fontId="3" fillId="11" borderId="3" xfId="0" applyNumberFormat="1" applyFont="1" applyFill="1" applyBorder="1" applyAlignment="1">
      <alignment horizontal="center" vertical="center"/>
    </xf>
    <xf numFmtId="1" fontId="3" fillId="11" borderId="4" xfId="0" applyNumberFormat="1" applyFont="1" applyFill="1" applyBorder="1" applyAlignment="1">
      <alignment horizontal="center" vertical="center"/>
    </xf>
    <xf numFmtId="1" fontId="0" fillId="2" borderId="23" xfId="0" applyNumberFormat="1" applyFill="1" applyBorder="1" applyAlignment="1">
      <alignment horizontal="center" vertical="center"/>
    </xf>
    <xf numFmtId="1" fontId="0" fillId="2" borderId="24" xfId="0" applyNumberFormat="1" applyFill="1" applyBorder="1" applyAlignment="1">
      <alignment horizontal="center" vertical="center"/>
    </xf>
    <xf numFmtId="1" fontId="0" fillId="2" borderId="25" xfId="0" applyNumberFormat="1" applyFill="1" applyBorder="1" applyAlignment="1">
      <alignment horizontal="center" vertical="center"/>
    </xf>
    <xf numFmtId="1" fontId="14" fillId="10" borderId="3" xfId="0" applyNumberFormat="1" applyFont="1" applyFill="1" applyBorder="1" applyAlignment="1">
      <alignment horizontal="center" vertical="center"/>
    </xf>
    <xf numFmtId="1" fontId="3" fillId="9" borderId="3" xfId="0" applyNumberFormat="1" applyFont="1" applyFill="1" applyBorder="1" applyAlignment="1">
      <alignment horizontal="center" vertical="center"/>
    </xf>
    <xf numFmtId="1" fontId="3" fillId="9" borderId="4" xfId="0" applyNumberFormat="1" applyFont="1" applyFill="1" applyBorder="1" applyAlignment="1">
      <alignment horizontal="center" vertical="center"/>
    </xf>
    <xf numFmtId="1" fontId="2" fillId="7" borderId="3" xfId="0" applyNumberFormat="1" applyFont="1" applyFill="1" applyBorder="1" applyAlignment="1">
      <alignment horizontal="center" vertical="center"/>
    </xf>
    <xf numFmtId="1" fontId="2" fillId="7" borderId="4" xfId="0" applyNumberFormat="1" applyFont="1" applyFill="1" applyBorder="1" applyAlignment="1">
      <alignment horizontal="center" vertical="center"/>
    </xf>
    <xf numFmtId="1" fontId="14" fillId="7" borderId="3" xfId="0" applyNumberFormat="1" applyFont="1" applyFill="1" applyBorder="1" applyAlignment="1">
      <alignment horizontal="center" vertical="center"/>
    </xf>
    <xf numFmtId="1" fontId="11" fillId="6" borderId="3" xfId="0" applyNumberFormat="1" applyFont="1" applyFill="1" applyBorder="1" applyAlignment="1">
      <alignment horizontal="center" vertical="center"/>
    </xf>
    <xf numFmtId="1" fontId="11" fillId="6" borderId="4" xfId="0" applyNumberFormat="1" applyFont="1" applyFill="1" applyBorder="1" applyAlignment="1">
      <alignment horizontal="center" vertical="center"/>
    </xf>
    <xf numFmtId="1" fontId="11" fillId="6" borderId="1" xfId="0" applyNumberFormat="1" applyFont="1" applyFill="1" applyBorder="1" applyAlignment="1">
      <alignment horizontal="center" vertical="center"/>
    </xf>
    <xf numFmtId="1" fontId="10" fillId="6" borderId="3" xfId="0" applyNumberFormat="1"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horizontal="center" vertical="center"/>
    </xf>
    <xf numFmtId="1" fontId="0" fillId="8" borderId="28" xfId="0" applyNumberFormat="1" applyFill="1" applyBorder="1" applyAlignment="1">
      <alignment horizontal="center" vertical="center"/>
    </xf>
    <xf numFmtId="1" fontId="0" fillId="8" borderId="29" xfId="0" applyNumberFormat="1" applyFill="1" applyBorder="1" applyAlignment="1">
      <alignment horizontal="center" vertical="center"/>
    </xf>
    <xf numFmtId="1" fontId="0" fillId="8" borderId="26" xfId="0" applyNumberFormat="1" applyFill="1" applyBorder="1" applyAlignment="1">
      <alignment horizontal="center" vertical="center"/>
    </xf>
    <xf numFmtId="1" fontId="14" fillId="2" borderId="30" xfId="0" applyNumberFormat="1" applyFont="1" applyFill="1" applyBorder="1" applyAlignment="1">
      <alignment horizontal="center" vertical="center"/>
    </xf>
    <xf numFmtId="1" fontId="0" fillId="2" borderId="31" xfId="0" applyNumberFormat="1" applyFill="1" applyBorder="1" applyAlignment="1">
      <alignment horizontal="center" vertical="center"/>
    </xf>
    <xf numFmtId="1" fontId="0" fillId="2" borderId="32" xfId="0" applyNumberFormat="1" applyFill="1" applyBorder="1" applyAlignment="1">
      <alignment horizontal="center" vertical="center"/>
    </xf>
    <xf numFmtId="1" fontId="14" fillId="7" borderId="33" xfId="0" applyNumberFormat="1" applyFont="1" applyFill="1" applyBorder="1" applyAlignment="1">
      <alignment horizontal="center" vertical="center"/>
    </xf>
    <xf numFmtId="0" fontId="2" fillId="0" borderId="34" xfId="0" applyFont="1" applyBorder="1" applyAlignment="1">
      <alignment vertical="center"/>
    </xf>
    <xf numFmtId="0" fontId="18" fillId="0" borderId="35" xfId="0" applyFont="1" applyBorder="1" applyAlignment="1">
      <alignment horizontal="center" vertical="center"/>
    </xf>
    <xf numFmtId="1" fontId="0" fillId="7" borderId="36" xfId="0" applyNumberFormat="1" applyFill="1" applyBorder="1" applyAlignment="1">
      <alignment horizontal="center" vertical="center"/>
    </xf>
    <xf numFmtId="1" fontId="0" fillId="7" borderId="37" xfId="0" applyNumberFormat="1" applyFill="1" applyBorder="1" applyAlignment="1">
      <alignment horizontal="center" vertical="center"/>
    </xf>
    <xf numFmtId="1" fontId="0" fillId="7" borderId="38" xfId="0" applyNumberFormat="1" applyFill="1" applyBorder="1" applyAlignment="1">
      <alignment horizontal="center" vertical="center"/>
    </xf>
    <xf numFmtId="1" fontId="18" fillId="2" borderId="19" xfId="0" applyNumberFormat="1" applyFont="1" applyFill="1" applyBorder="1" applyAlignment="1">
      <alignment horizontal="center" vertical="center"/>
    </xf>
    <xf numFmtId="1" fontId="19" fillId="2" borderId="20" xfId="0" applyNumberFormat="1" applyFont="1" applyFill="1" applyBorder="1" applyAlignment="1">
      <alignment horizontal="center" vertical="center"/>
    </xf>
    <xf numFmtId="1" fontId="19" fillId="2" borderId="21" xfId="0" applyNumberFormat="1" applyFont="1" applyFill="1" applyBorder="1" applyAlignment="1">
      <alignment horizontal="center" vertical="center"/>
    </xf>
    <xf numFmtId="1" fontId="14" fillId="7" borderId="39" xfId="0" applyNumberFormat="1" applyFont="1" applyFill="1" applyBorder="1" applyAlignment="1">
      <alignment horizontal="center" vertical="center"/>
    </xf>
    <xf numFmtId="0" fontId="2" fillId="0" borderId="40" xfId="0" applyFont="1" applyBorder="1" applyAlignment="1">
      <alignment vertical="center"/>
    </xf>
    <xf numFmtId="0" fontId="14" fillId="0" borderId="41" xfId="0" applyFont="1" applyBorder="1" applyAlignment="1">
      <alignment horizontal="center" vertical="center"/>
    </xf>
    <xf numFmtId="1" fontId="2" fillId="8" borderId="2" xfId="0" applyNumberFormat="1" applyFont="1" applyFill="1" applyBorder="1" applyAlignment="1">
      <alignment horizontal="center" vertical="center"/>
    </xf>
    <xf numFmtId="1" fontId="18" fillId="2" borderId="23" xfId="0" applyNumberFormat="1" applyFont="1" applyFill="1" applyBorder="1" applyAlignment="1">
      <alignment horizontal="center" vertical="center"/>
    </xf>
    <xf numFmtId="1" fontId="19" fillId="2" borderId="24" xfId="0" applyNumberFormat="1" applyFont="1" applyFill="1" applyBorder="1" applyAlignment="1">
      <alignment horizontal="center" vertical="center"/>
    </xf>
    <xf numFmtId="1" fontId="19" fillId="2" borderId="25" xfId="0" applyNumberFormat="1" applyFont="1" applyFill="1" applyBorder="1" applyAlignment="1">
      <alignment horizontal="center" vertical="center"/>
    </xf>
    <xf numFmtId="1" fontId="14" fillId="7" borderId="42" xfId="0" applyNumberFormat="1" applyFont="1" applyFill="1" applyBorder="1" applyAlignment="1">
      <alignment horizontal="center" vertical="center"/>
    </xf>
    <xf numFmtId="0" fontId="14" fillId="0" borderId="35" xfId="0" applyFont="1" applyBorder="1" applyAlignment="1">
      <alignment horizontal="center" vertical="center"/>
    </xf>
    <xf numFmtId="0" fontId="14" fillId="0" borderId="43" xfId="0" applyFont="1" applyBorder="1" applyAlignment="1">
      <alignment vertical="center"/>
    </xf>
    <xf numFmtId="1" fontId="14" fillId="7" borderId="2" xfId="0" applyNumberFormat="1" applyFont="1" applyFill="1" applyBorder="1" applyAlignment="1">
      <alignment horizontal="center" vertical="center"/>
    </xf>
    <xf numFmtId="1" fontId="0" fillId="2" borderId="23" xfId="0" applyNumberFormat="1" applyFill="1" applyBorder="1" applyAlignment="1">
      <alignment horizontal="left" vertical="center"/>
    </xf>
    <xf numFmtId="1" fontId="14" fillId="7" borderId="44" xfId="0" applyNumberFormat="1" applyFont="1" applyFill="1" applyBorder="1" applyAlignment="1">
      <alignment horizontal="center" vertical="center"/>
    </xf>
    <xf numFmtId="0" fontId="14" fillId="0" borderId="45" xfId="0" applyFont="1" applyBorder="1" applyAlignment="1">
      <alignment vertical="center"/>
    </xf>
    <xf numFmtId="1" fontId="14" fillId="7" borderId="46" xfId="0" applyNumberFormat="1" applyFont="1" applyFill="1" applyBorder="1" applyAlignment="1">
      <alignment horizontal="center" vertical="center"/>
    </xf>
    <xf numFmtId="0" fontId="13" fillId="0" borderId="46" xfId="0" applyFont="1" applyBorder="1" applyAlignment="1">
      <alignment vertical="center"/>
    </xf>
    <xf numFmtId="0" fontId="13" fillId="0" borderId="28" xfId="0" applyFont="1" applyBorder="1" applyAlignment="1">
      <alignment vertical="center"/>
    </xf>
    <xf numFmtId="1" fontId="0" fillId="2" borderId="47" xfId="0" applyNumberFormat="1" applyFill="1" applyBorder="1" applyAlignment="1">
      <alignment horizontal="left" vertical="center"/>
    </xf>
    <xf numFmtId="1" fontId="0" fillId="2" borderId="48" xfId="0" applyNumberFormat="1" applyFill="1" applyBorder="1" applyAlignment="1">
      <alignment horizontal="center" vertical="center"/>
    </xf>
    <xf numFmtId="1" fontId="0" fillId="2" borderId="49" xfId="0" applyNumberFormat="1" applyFill="1" applyBorder="1" applyAlignment="1">
      <alignment horizontal="center" vertical="center"/>
    </xf>
    <xf numFmtId="1" fontId="14" fillId="7" borderId="50" xfId="0" applyNumberFormat="1" applyFont="1" applyFill="1" applyBorder="1" applyAlignment="1">
      <alignment horizontal="center" vertical="center"/>
    </xf>
    <xf numFmtId="0" fontId="14" fillId="0" borderId="7" xfId="0" applyFont="1" applyBorder="1" applyAlignment="1">
      <alignment vertical="center"/>
    </xf>
    <xf numFmtId="0" fontId="14" fillId="0" borderId="8" xfId="0" applyFont="1" applyBorder="1" applyAlignment="1">
      <alignment horizontal="center" vertical="center"/>
    </xf>
    <xf numFmtId="166" fontId="0" fillId="2" borderId="9" xfId="0" applyNumberFormat="1" applyFill="1" applyBorder="1" applyAlignment="1">
      <alignment horizontal="center" vertical="center"/>
    </xf>
    <xf numFmtId="166" fontId="0" fillId="2" borderId="10" xfId="0" applyNumberFormat="1" applyFill="1" applyBorder="1" applyAlignment="1">
      <alignment horizontal="center" vertical="center"/>
    </xf>
    <xf numFmtId="166" fontId="0" fillId="2" borderId="51" xfId="0" applyNumberFormat="1" applyFill="1" applyBorder="1" applyAlignment="1">
      <alignment horizontal="center" vertical="center"/>
    </xf>
    <xf numFmtId="164" fontId="14" fillId="2" borderId="14" xfId="0" applyNumberFormat="1" applyFont="1" applyFill="1" applyBorder="1" applyAlignment="1">
      <alignment horizontal="center" vertical="center"/>
    </xf>
    <xf numFmtId="0" fontId="0" fillId="0" borderId="15" xfId="0" applyBorder="1" applyAlignment="1">
      <alignment horizontal="right" vertical="center"/>
    </xf>
    <xf numFmtId="165" fontId="0" fillId="7" borderId="17" xfId="0" applyNumberFormat="1" applyFill="1" applyBorder="1" applyAlignment="1">
      <alignment horizontal="center" vertical="center"/>
    </xf>
    <xf numFmtId="2" fontId="14" fillId="7" borderId="17" xfId="0" applyNumberFormat="1" applyFont="1" applyFill="1" applyBorder="1" applyAlignment="1">
      <alignment horizontal="center" vertical="center"/>
    </xf>
    <xf numFmtId="0" fontId="0" fillId="0" borderId="26" xfId="0" applyBorder="1" applyAlignment="1">
      <alignment horizontal="right" vertical="center"/>
    </xf>
    <xf numFmtId="1" fontId="0" fillId="7" borderId="28" xfId="0" applyNumberFormat="1" applyFill="1" applyBorder="1" applyAlignment="1">
      <alignment horizontal="center" vertical="center"/>
    </xf>
    <xf numFmtId="1" fontId="0" fillId="7" borderId="29" xfId="0" applyNumberFormat="1" applyFill="1" applyBorder="1" applyAlignment="1">
      <alignment horizontal="center" vertical="center"/>
    </xf>
    <xf numFmtId="1" fontId="0" fillId="7" borderId="53" xfId="0" applyNumberFormat="1" applyFill="1" applyBorder="1" applyAlignment="1">
      <alignment horizontal="center" vertical="center"/>
    </xf>
    <xf numFmtId="1" fontId="14" fillId="7" borderId="28" xfId="0" applyNumberFormat="1" applyFont="1" applyFill="1" applyBorder="1" applyAlignment="1">
      <alignment horizontal="center" vertical="center"/>
    </xf>
    <xf numFmtId="9" fontId="14" fillId="7" borderId="8" xfId="0" applyNumberFormat="1" applyFont="1" applyFill="1" applyBorder="1" applyAlignment="1">
      <alignment horizontal="center" vertical="center"/>
    </xf>
    <xf numFmtId="1" fontId="0" fillId="2" borderId="54" xfId="0" applyNumberFormat="1" applyFill="1" applyBorder="1" applyAlignment="1">
      <alignment horizontal="center" vertical="center"/>
    </xf>
    <xf numFmtId="1" fontId="0" fillId="2" borderId="14" xfId="0" applyNumberFormat="1" applyFill="1" applyBorder="1" applyAlignment="1">
      <alignment horizontal="center" vertical="center"/>
    </xf>
    <xf numFmtId="1" fontId="14" fillId="2" borderId="14" xfId="0" applyNumberFormat="1" applyFont="1" applyFill="1" applyBorder="1" applyAlignment="1">
      <alignment horizontal="center" vertical="center"/>
    </xf>
    <xf numFmtId="0" fontId="0" fillId="0" borderId="55" xfId="0" applyBorder="1" applyAlignment="1">
      <alignment horizontal="right" vertical="center"/>
    </xf>
    <xf numFmtId="9" fontId="16" fillId="6" borderId="16" xfId="0" applyNumberFormat="1" applyFont="1" applyFill="1" applyBorder="1" applyAlignment="1">
      <alignment horizontal="center" vertical="center"/>
    </xf>
    <xf numFmtId="1" fontId="0" fillId="7" borderId="17" xfId="0" applyNumberFormat="1" applyFill="1" applyBorder="1" applyAlignment="1">
      <alignment horizontal="center" vertical="center"/>
    </xf>
    <xf numFmtId="1" fontId="0" fillId="7" borderId="18" xfId="0" applyNumberFormat="1" applyFill="1" applyBorder="1" applyAlignment="1">
      <alignment horizontal="center" vertical="center"/>
    </xf>
    <xf numFmtId="1" fontId="0" fillId="7" borderId="52" xfId="0" applyNumberFormat="1" applyFill="1" applyBorder="1" applyAlignment="1">
      <alignment horizontal="center" vertical="center"/>
    </xf>
    <xf numFmtId="1" fontId="14" fillId="7" borderId="56" xfId="0" applyNumberFormat="1" applyFont="1" applyFill="1" applyBorder="1" applyAlignment="1">
      <alignment horizontal="center" vertical="center"/>
    </xf>
    <xf numFmtId="0" fontId="0" fillId="0" borderId="43" xfId="0" applyBorder="1" applyAlignment="1">
      <alignment horizontal="right" vertical="center"/>
    </xf>
    <xf numFmtId="9" fontId="16" fillId="6" borderId="22" xfId="0" applyNumberFormat="1" applyFont="1" applyFill="1" applyBorder="1" applyAlignment="1">
      <alignment horizontal="center" vertical="center"/>
    </xf>
    <xf numFmtId="1" fontId="0" fillId="7" borderId="3" xfId="0" applyNumberFormat="1" applyFill="1" applyBorder="1" applyAlignment="1">
      <alignment horizontal="center" vertical="center"/>
    </xf>
    <xf numFmtId="1" fontId="0" fillId="7" borderId="4" xfId="0" applyNumberFormat="1" applyFill="1" applyBorder="1" applyAlignment="1">
      <alignment horizontal="center" vertical="center"/>
    </xf>
    <xf numFmtId="1" fontId="0" fillId="7" borderId="57" xfId="0" applyNumberFormat="1" applyFill="1" applyBorder="1" applyAlignment="1">
      <alignment horizontal="center" vertical="center"/>
    </xf>
    <xf numFmtId="1" fontId="14" fillId="7" borderId="58" xfId="0" applyNumberFormat="1" applyFont="1" applyFill="1" applyBorder="1" applyAlignment="1">
      <alignment horizontal="center" vertical="center"/>
    </xf>
    <xf numFmtId="1" fontId="14" fillId="7" borderId="59" xfId="0" applyNumberFormat="1" applyFont="1" applyFill="1" applyBorder="1" applyAlignment="1">
      <alignment horizontal="center" vertical="center"/>
    </xf>
    <xf numFmtId="1" fontId="14" fillId="7" borderId="60" xfId="0" applyNumberFormat="1" applyFont="1" applyFill="1" applyBorder="1" applyAlignment="1">
      <alignment horizontal="center" vertical="center"/>
    </xf>
    <xf numFmtId="1" fontId="14" fillId="7" borderId="61" xfId="0" applyNumberFormat="1" applyFont="1" applyFill="1" applyBorder="1" applyAlignment="1">
      <alignment horizontal="center" vertical="center"/>
    </xf>
    <xf numFmtId="1" fontId="0" fillId="2" borderId="9" xfId="0" applyNumberFormat="1" applyFill="1" applyBorder="1" applyAlignment="1">
      <alignment horizontal="center" vertical="center"/>
    </xf>
    <xf numFmtId="1" fontId="0" fillId="2" borderId="10" xfId="0" applyNumberFormat="1" applyFill="1" applyBorder="1" applyAlignment="1">
      <alignment horizontal="center" vertical="center"/>
    </xf>
    <xf numFmtId="1" fontId="0" fillId="2" borderId="51" xfId="0" applyNumberFormat="1" applyFill="1" applyBorder="1" applyAlignment="1">
      <alignment horizontal="center" vertical="center"/>
    </xf>
    <xf numFmtId="9" fontId="20" fillId="7" borderId="16" xfId="0" applyNumberFormat="1" applyFont="1" applyFill="1" applyBorder="1" applyAlignment="1">
      <alignment horizontal="center" vertical="center"/>
    </xf>
    <xf numFmtId="1" fontId="14" fillId="7" borderId="17" xfId="0" applyNumberFormat="1" applyFont="1" applyFill="1" applyBorder="1" applyAlignment="1">
      <alignment horizontal="center" vertical="center"/>
    </xf>
    <xf numFmtId="0" fontId="0" fillId="0" borderId="1" xfId="0" applyBorder="1" applyAlignment="1">
      <alignment horizontal="right" vertical="center"/>
    </xf>
    <xf numFmtId="9" fontId="20" fillId="7" borderId="22" xfId="0" applyNumberFormat="1" applyFont="1" applyFill="1" applyBorder="1" applyAlignment="1">
      <alignment horizontal="center" vertical="center"/>
    </xf>
    <xf numFmtId="9" fontId="20" fillId="7" borderId="27" xfId="0" applyNumberFormat="1" applyFont="1" applyFill="1" applyBorder="1" applyAlignment="1">
      <alignment horizontal="center" vertical="center"/>
    </xf>
    <xf numFmtId="0" fontId="14" fillId="2" borderId="7" xfId="0" applyFont="1" applyFill="1" applyBorder="1" applyAlignment="1">
      <alignment horizontal="left" vertical="center"/>
    </xf>
    <xf numFmtId="9" fontId="14" fillId="2" borderId="8" xfId="0" applyNumberFormat="1" applyFont="1" applyFill="1" applyBorder="1" applyAlignment="1">
      <alignment horizontal="center" vertical="center"/>
    </xf>
    <xf numFmtId="1" fontId="16" fillId="2" borderId="62" xfId="0" applyNumberFormat="1" applyFont="1" applyFill="1" applyBorder="1" applyAlignment="1">
      <alignment horizontal="center" vertical="center"/>
    </xf>
    <xf numFmtId="1" fontId="0" fillId="7" borderId="17" xfId="0" applyNumberFormat="1" applyFill="1" applyBorder="1" applyAlignment="1">
      <alignment horizontal="center" vertical="center" wrapText="1"/>
    </xf>
    <xf numFmtId="1" fontId="0" fillId="2" borderId="9" xfId="0" applyNumberFormat="1" applyFill="1" applyBorder="1" applyAlignment="1">
      <alignment horizontal="center" vertical="center" wrapText="1"/>
    </xf>
    <xf numFmtId="9" fontId="15" fillId="2" borderId="62" xfId="0" applyNumberFormat="1" applyFont="1" applyFill="1" applyBorder="1" applyAlignment="1">
      <alignment horizontal="center" vertical="center"/>
    </xf>
    <xf numFmtId="1" fontId="0" fillId="7" borderId="3" xfId="0" applyNumberFormat="1" applyFill="1" applyBorder="1" applyAlignment="1">
      <alignment horizontal="center" vertical="center" wrapText="1"/>
    </xf>
    <xf numFmtId="0" fontId="0" fillId="0" borderId="81" xfId="0" applyBorder="1" applyAlignment="1">
      <alignment horizontal="right" vertical="center"/>
    </xf>
    <xf numFmtId="1" fontId="0" fillId="7" borderId="4" xfId="0" applyNumberFormat="1" applyFill="1" applyBorder="1" applyAlignment="1">
      <alignment horizontal="center" vertical="center" wrapText="1"/>
    </xf>
    <xf numFmtId="1" fontId="0" fillId="7" borderId="63" xfId="0" applyNumberFormat="1" applyFill="1" applyBorder="1" applyAlignment="1" applyProtection="1">
      <alignment horizontal="center" vertical="center" wrapText="1"/>
      <protection locked="0"/>
    </xf>
    <xf numFmtId="1" fontId="0" fillId="7" borderId="63" xfId="0" applyNumberFormat="1" applyFill="1" applyBorder="1" applyAlignment="1">
      <alignment horizontal="center" vertical="center"/>
    </xf>
    <xf numFmtId="1" fontId="0" fillId="7" borderId="64" xfId="0" applyNumberFormat="1" applyFill="1" applyBorder="1" applyAlignment="1">
      <alignment horizontal="center" vertical="center"/>
    </xf>
    <xf numFmtId="1" fontId="0" fillId="7" borderId="65" xfId="0" applyNumberFormat="1" applyFill="1" applyBorder="1" applyAlignment="1">
      <alignment horizontal="center" vertical="center"/>
    </xf>
    <xf numFmtId="9" fontId="14" fillId="2" borderId="62" xfId="0" applyNumberFormat="1" applyFont="1" applyFill="1" applyBorder="1" applyAlignment="1">
      <alignment horizontal="center" vertical="center"/>
    </xf>
    <xf numFmtId="1" fontId="11" fillId="7" borderId="17" xfId="0" applyNumberFormat="1" applyFont="1" applyFill="1" applyBorder="1" applyAlignment="1" applyProtection="1">
      <alignment horizontal="center" vertical="center" wrapText="1"/>
      <protection locked="0"/>
    </xf>
    <xf numFmtId="1" fontId="0" fillId="7" borderId="3" xfId="0" applyNumberFormat="1" applyFill="1" applyBorder="1" applyAlignment="1" applyProtection="1">
      <alignment horizontal="center" vertical="center" wrapText="1"/>
      <protection locked="0"/>
    </xf>
    <xf numFmtId="1" fontId="0" fillId="7" borderId="3" xfId="0" applyNumberFormat="1" applyFill="1" applyBorder="1" applyAlignment="1" applyProtection="1">
      <alignment horizontal="center" vertical="center"/>
      <protection locked="0"/>
    </xf>
    <xf numFmtId="1" fontId="0" fillId="7" borderId="28" xfId="0" applyNumberFormat="1" applyFill="1" applyBorder="1" applyAlignment="1" applyProtection="1">
      <alignment horizontal="center" vertical="center" wrapText="1"/>
      <protection locked="0"/>
    </xf>
    <xf numFmtId="9" fontId="15" fillId="2" borderId="66" xfId="0" applyNumberFormat="1" applyFont="1" applyFill="1" applyBorder="1" applyAlignment="1">
      <alignment horizontal="center" vertical="center"/>
    </xf>
    <xf numFmtId="0" fontId="11" fillId="0" borderId="0" xfId="0" applyFont="1" applyFill="1" applyAlignment="1">
      <alignment vertical="center"/>
    </xf>
    <xf numFmtId="0" fontId="41" fillId="29" borderId="6" xfId="3" applyFont="1" applyFill="1" applyAlignment="1">
      <alignment vertical="center"/>
    </xf>
    <xf numFmtId="4" fontId="39" fillId="29" borderId="6" xfId="3" applyNumberFormat="1" applyFont="1" applyFill="1" applyAlignment="1">
      <alignment vertical="center"/>
    </xf>
    <xf numFmtId="4" fontId="38" fillId="29" borderId="6" xfId="3" applyNumberFormat="1" applyFont="1" applyFill="1" applyAlignment="1">
      <alignment vertical="center"/>
    </xf>
    <xf numFmtId="0" fontId="39" fillId="29" borderId="6" xfId="3" applyFont="1" applyFill="1" applyAlignment="1">
      <alignment vertical="center"/>
    </xf>
    <xf numFmtId="4" fontId="42" fillId="29" borderId="6" xfId="3" applyNumberFormat="1" applyFont="1" applyFill="1" applyAlignment="1">
      <alignment horizontal="center" vertical="center"/>
    </xf>
    <xf numFmtId="0" fontId="13" fillId="16" borderId="87" xfId="3" applyFont="1" applyFill="1" applyBorder="1" applyAlignment="1">
      <alignment vertical="center"/>
    </xf>
    <xf numFmtId="0" fontId="22" fillId="0" borderId="87" xfId="3" applyFont="1" applyBorder="1" applyAlignment="1">
      <alignment vertical="center"/>
    </xf>
    <xf numFmtId="0" fontId="22" fillId="0" borderId="6" xfId="3" applyFont="1" applyAlignment="1">
      <alignment vertical="center"/>
    </xf>
    <xf numFmtId="0" fontId="22" fillId="14" borderId="100" xfId="3" applyFont="1" applyFill="1" applyBorder="1" applyAlignment="1">
      <alignment horizontal="left" vertical="center"/>
    </xf>
    <xf numFmtId="0" fontId="22" fillId="14" borderId="101" xfId="3" applyFont="1" applyFill="1" applyBorder="1" applyAlignment="1">
      <alignment horizontal="left" vertical="center"/>
    </xf>
    <xf numFmtId="0" fontId="22" fillId="14" borderId="102" xfId="3" applyFont="1" applyFill="1" applyBorder="1" applyAlignment="1">
      <alignment horizontal="left" vertical="center"/>
    </xf>
    <xf numFmtId="0" fontId="4" fillId="3" borderId="87" xfId="3" applyFont="1" applyFill="1" applyBorder="1" applyAlignment="1">
      <alignment vertical="center"/>
    </xf>
    <xf numFmtId="0" fontId="40" fillId="3" borderId="87" xfId="3" applyFont="1" applyFill="1" applyBorder="1" applyAlignment="1">
      <alignment vertical="center"/>
    </xf>
    <xf numFmtId="0" fontId="8" fillId="32" borderId="87" xfId="3" applyFont="1" applyFill="1" applyBorder="1" applyAlignment="1">
      <alignment vertical="center"/>
    </xf>
    <xf numFmtId="0" fontId="8" fillId="3" borderId="87" xfId="3" applyFont="1" applyFill="1" applyBorder="1" applyAlignment="1">
      <alignment vertical="center"/>
    </xf>
    <xf numFmtId="0" fontId="43" fillId="3" borderId="87" xfId="3" applyFont="1" applyFill="1" applyBorder="1" applyAlignment="1">
      <alignment vertical="center"/>
    </xf>
    <xf numFmtId="0" fontId="44" fillId="3" borderId="87" xfId="3" applyFont="1" applyFill="1" applyBorder="1" applyAlignment="1">
      <alignment vertical="center"/>
    </xf>
    <xf numFmtId="0" fontId="45" fillId="3" borderId="87" xfId="3" applyFont="1" applyFill="1" applyBorder="1" applyAlignment="1">
      <alignment vertical="center"/>
    </xf>
    <xf numFmtId="0" fontId="38" fillId="30" borderId="87" xfId="3" applyFont="1" applyFill="1" applyBorder="1" applyAlignment="1">
      <alignment horizontal="center" vertical="center"/>
    </xf>
    <xf numFmtId="0" fontId="38" fillId="30" borderId="87" xfId="3" applyFont="1" applyFill="1" applyBorder="1" applyAlignment="1">
      <alignment horizontal="right" vertical="center"/>
    </xf>
    <xf numFmtId="169" fontId="4" fillId="3" borderId="87" xfId="3" applyNumberFormat="1" applyFont="1" applyFill="1" applyBorder="1" applyAlignment="1">
      <alignment horizontal="center" vertical="center"/>
    </xf>
    <xf numFmtId="0" fontId="46" fillId="3" borderId="87" xfId="3" applyFont="1" applyFill="1" applyBorder="1" applyAlignment="1">
      <alignment vertical="center"/>
    </xf>
    <xf numFmtId="170" fontId="46" fillId="3" borderId="87" xfId="3" applyNumberFormat="1" applyFont="1" applyFill="1" applyBorder="1" applyAlignment="1">
      <alignment horizontal="center" vertical="center"/>
    </xf>
    <xf numFmtId="171" fontId="4" fillId="20" borderId="87" xfId="3" applyNumberFormat="1" applyFont="1" applyFill="1" applyBorder="1" applyAlignment="1">
      <alignment vertical="center"/>
    </xf>
    <xf numFmtId="9" fontId="4" fillId="20" borderId="87" xfId="3" applyNumberFormat="1" applyFont="1" applyFill="1" applyBorder="1" applyAlignment="1">
      <alignment vertical="center"/>
    </xf>
    <xf numFmtId="172" fontId="4" fillId="3" borderId="87" xfId="3" applyNumberFormat="1" applyFont="1" applyFill="1" applyBorder="1" applyAlignment="1">
      <alignment horizontal="center" vertical="center"/>
    </xf>
    <xf numFmtId="173" fontId="4" fillId="3" borderId="87" xfId="3" applyNumberFormat="1" applyFont="1" applyFill="1" applyBorder="1" applyAlignment="1">
      <alignment horizontal="center" vertical="center"/>
    </xf>
    <xf numFmtId="169" fontId="4" fillId="3" borderId="87" xfId="3" applyNumberFormat="1" applyFont="1" applyFill="1" applyBorder="1" applyAlignment="1">
      <alignment vertical="center"/>
    </xf>
    <xf numFmtId="169" fontId="38" fillId="8" borderId="87" xfId="3" applyNumberFormat="1" applyFont="1" applyFill="1" applyBorder="1" applyAlignment="1">
      <alignment vertical="center"/>
    </xf>
    <xf numFmtId="174" fontId="4" fillId="3" borderId="87" xfId="3" applyNumberFormat="1" applyFont="1" applyFill="1" applyBorder="1" applyAlignment="1">
      <alignment vertical="center"/>
    </xf>
    <xf numFmtId="174" fontId="8" fillId="3" borderId="87" xfId="3" applyNumberFormat="1" applyFont="1" applyFill="1" applyBorder="1" applyAlignment="1">
      <alignment vertical="center"/>
    </xf>
    <xf numFmtId="0" fontId="4" fillId="3" borderId="87" xfId="3" applyFont="1" applyFill="1" applyBorder="1" applyAlignment="1">
      <alignment horizontal="left" vertical="center"/>
    </xf>
    <xf numFmtId="0" fontId="27" fillId="4" borderId="87" xfId="3" applyFont="1" applyFill="1" applyBorder="1" applyAlignment="1">
      <alignment vertical="center"/>
    </xf>
    <xf numFmtId="0" fontId="8" fillId="34" borderId="87" xfId="3" applyFont="1" applyFill="1" applyBorder="1" applyAlignment="1">
      <alignment vertical="center"/>
    </xf>
    <xf numFmtId="0" fontId="4" fillId="34" borderId="87" xfId="3" applyFont="1" applyFill="1" applyBorder="1" applyAlignment="1">
      <alignment vertical="center"/>
    </xf>
    <xf numFmtId="0" fontId="30" fillId="0" borderId="87" xfId="2" applyBorder="1" applyAlignment="1">
      <alignment vertical="center"/>
    </xf>
    <xf numFmtId="0" fontId="3" fillId="0" borderId="6" xfId="4" applyFont="1" applyAlignment="1">
      <alignment horizontal="left" vertical="center"/>
    </xf>
    <xf numFmtId="0" fontId="3" fillId="0" borderId="6" xfId="4" applyFont="1" applyAlignment="1">
      <alignment vertical="center"/>
    </xf>
    <xf numFmtId="0" fontId="48" fillId="16" borderId="6" xfId="5" applyFont="1" applyFill="1" applyAlignment="1">
      <alignment vertical="center"/>
    </xf>
    <xf numFmtId="0" fontId="16" fillId="16" borderId="6" xfId="4" applyFont="1" applyFill="1" applyAlignment="1">
      <alignment vertical="center"/>
    </xf>
    <xf numFmtId="0" fontId="3" fillId="0" borderId="6" xfId="4" applyFont="1" applyFill="1" applyAlignment="1">
      <alignment vertical="center"/>
    </xf>
    <xf numFmtId="0" fontId="48" fillId="16" borderId="6" xfId="2" applyFont="1" applyFill="1" applyBorder="1"/>
    <xf numFmtId="0" fontId="48" fillId="16" borderId="6" xfId="2" applyFont="1" applyFill="1" applyBorder="1" applyAlignment="1">
      <alignment vertical="center"/>
    </xf>
    <xf numFmtId="0" fontId="11" fillId="16" borderId="6" xfId="4" applyFont="1" applyFill="1" applyAlignment="1">
      <alignment vertical="center"/>
    </xf>
  </cellXfs>
  <cellStyles count="6">
    <cellStyle name="Hyperlink" xfId="2" builtinId="8"/>
    <cellStyle name="Hyperlink 2" xfId="5" xr:uid="{05C28087-2438-4691-A045-AEBC7CBC683B}"/>
    <cellStyle name="Normal" xfId="0" builtinId="0"/>
    <cellStyle name="Normal 2" xfId="3" xr:uid="{B746719A-D910-4645-90F5-A5A6915DDCF7}"/>
    <cellStyle name="Normal 3" xfId="4" xr:uid="{D963CDCB-8346-4994-B719-0E3C937A0866}"/>
    <cellStyle name="Percent" xfId="1" builtinId="5"/>
  </cellStyles>
  <dxfs count="3">
    <dxf>
      <fill>
        <patternFill patternType="solid">
          <fgColor rgb="FFFF0000"/>
          <bgColor rgb="FFFF0000"/>
        </patternFill>
      </fill>
    </dxf>
    <dxf>
      <fill>
        <patternFill patternType="solid">
          <fgColor rgb="FF1C4587"/>
          <bgColor rgb="FF1C4587"/>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64243E5-FF46-46CE-8E86-9852002E5F7E}" type="doc">
      <dgm:prSet loTypeId="urn:microsoft.com/office/officeart/2005/8/layout/cycle4" loCatId="cycle" qsTypeId="urn:microsoft.com/office/officeart/2005/8/quickstyle/simple1" qsCatId="simple" csTypeId="urn:microsoft.com/office/officeart/2005/8/colors/colorful1" csCatId="colorful" phldr="1"/>
      <dgm:spPr/>
      <dgm:t>
        <a:bodyPr/>
        <a:lstStyle/>
        <a:p>
          <a:endParaRPr lang="en-US"/>
        </a:p>
      </dgm:t>
    </dgm:pt>
    <dgm:pt modelId="{4048B786-71FF-4BC1-AFBB-9E28D2B6B4CE}">
      <dgm:prSet phldrT="[Text]"/>
      <dgm:spPr/>
      <dgm:t>
        <a:bodyPr/>
        <a:lstStyle/>
        <a:p>
          <a:r>
            <a:rPr lang="en-US"/>
            <a:t>Business</a:t>
          </a:r>
        </a:p>
      </dgm:t>
    </dgm:pt>
    <dgm:pt modelId="{7DAC4E9A-0289-47FF-ABC5-826797D0B0A5}" type="parTrans" cxnId="{5E33F804-0827-4071-915D-CFBA8E6460FD}">
      <dgm:prSet/>
      <dgm:spPr/>
      <dgm:t>
        <a:bodyPr/>
        <a:lstStyle/>
        <a:p>
          <a:endParaRPr lang="en-US"/>
        </a:p>
      </dgm:t>
    </dgm:pt>
    <dgm:pt modelId="{A3C2A476-CBA4-4519-93DA-2590EE4F036E}" type="sibTrans" cxnId="{5E33F804-0827-4071-915D-CFBA8E6460FD}">
      <dgm:prSet/>
      <dgm:spPr/>
      <dgm:t>
        <a:bodyPr/>
        <a:lstStyle/>
        <a:p>
          <a:endParaRPr lang="en-US"/>
        </a:p>
      </dgm:t>
    </dgm:pt>
    <dgm:pt modelId="{FF8ABE50-12B8-4351-BBA5-AA26708EB312}">
      <dgm:prSet phldrT="[Text]"/>
      <dgm:spPr>
        <a:solidFill>
          <a:srgbClr val="002060"/>
        </a:solidFill>
      </dgm:spPr>
      <dgm:t>
        <a:bodyPr/>
        <a:lstStyle/>
        <a:p>
          <a:r>
            <a:rPr lang="en-US"/>
            <a:t>Territories</a:t>
          </a:r>
        </a:p>
      </dgm:t>
    </dgm:pt>
    <dgm:pt modelId="{EFC57754-0A49-457D-9915-81E2D4935029}" type="parTrans" cxnId="{5295114E-5B2F-4712-AA76-BEC170110EE2}">
      <dgm:prSet/>
      <dgm:spPr/>
      <dgm:t>
        <a:bodyPr/>
        <a:lstStyle/>
        <a:p>
          <a:endParaRPr lang="en-US"/>
        </a:p>
      </dgm:t>
    </dgm:pt>
    <dgm:pt modelId="{9F31356C-0563-44A6-BA96-0E8FC1097E87}" type="sibTrans" cxnId="{5295114E-5B2F-4712-AA76-BEC170110EE2}">
      <dgm:prSet/>
      <dgm:spPr/>
      <dgm:t>
        <a:bodyPr/>
        <a:lstStyle/>
        <a:p>
          <a:endParaRPr lang="en-US"/>
        </a:p>
      </dgm:t>
    </dgm:pt>
    <dgm:pt modelId="{E4AEEE60-0B8A-4C43-BD7C-7679E0468B13}">
      <dgm:prSet phldrT="[Text]"/>
      <dgm:spPr>
        <a:solidFill>
          <a:srgbClr val="0070C0"/>
        </a:solidFill>
      </dgm:spPr>
      <dgm:t>
        <a:bodyPr/>
        <a:lstStyle/>
        <a:p>
          <a:r>
            <a:rPr lang="en-US"/>
            <a:t>Accounts</a:t>
          </a:r>
        </a:p>
      </dgm:t>
    </dgm:pt>
    <dgm:pt modelId="{229A140F-61A6-4811-AC43-BCAEF51AFE01}" type="parTrans" cxnId="{372E61D6-D52A-4001-B6BF-4B33108A92CF}">
      <dgm:prSet/>
      <dgm:spPr/>
      <dgm:t>
        <a:bodyPr/>
        <a:lstStyle/>
        <a:p>
          <a:endParaRPr lang="en-US"/>
        </a:p>
      </dgm:t>
    </dgm:pt>
    <dgm:pt modelId="{3D137A07-0C59-4A2B-9721-7A7BE4143B92}" type="sibTrans" cxnId="{372E61D6-D52A-4001-B6BF-4B33108A92CF}">
      <dgm:prSet/>
      <dgm:spPr/>
      <dgm:t>
        <a:bodyPr/>
        <a:lstStyle/>
        <a:p>
          <a:endParaRPr lang="en-US"/>
        </a:p>
      </dgm:t>
    </dgm:pt>
    <dgm:pt modelId="{D99BC3B5-D426-423D-B0C2-FFF8A6E1B61A}">
      <dgm:prSet phldrT="[Text]"/>
      <dgm:spPr>
        <a:solidFill>
          <a:srgbClr val="FFC000"/>
        </a:solidFill>
      </dgm:spPr>
      <dgm:t>
        <a:bodyPr/>
        <a:lstStyle/>
        <a:p>
          <a:r>
            <a:rPr lang="en-US"/>
            <a:t>Deals</a:t>
          </a:r>
        </a:p>
      </dgm:t>
    </dgm:pt>
    <dgm:pt modelId="{F8683E6B-7CF2-4D07-960B-F4EB902708A5}" type="parTrans" cxnId="{C9285204-8385-437A-85C0-7812A946065A}">
      <dgm:prSet/>
      <dgm:spPr/>
      <dgm:t>
        <a:bodyPr/>
        <a:lstStyle/>
        <a:p>
          <a:endParaRPr lang="en-US"/>
        </a:p>
      </dgm:t>
    </dgm:pt>
    <dgm:pt modelId="{59DFA20C-C2DA-4EEA-AADB-BAB1B7FB5F02}" type="sibTrans" cxnId="{C9285204-8385-437A-85C0-7812A946065A}">
      <dgm:prSet/>
      <dgm:spPr/>
      <dgm:t>
        <a:bodyPr/>
        <a:lstStyle/>
        <a:p>
          <a:endParaRPr lang="en-US"/>
        </a:p>
      </dgm:t>
    </dgm:pt>
    <dgm:pt modelId="{95328DE2-C0B1-4AFA-AF6B-C7EE4863C1AB}" type="pres">
      <dgm:prSet presAssocID="{B64243E5-FF46-46CE-8E86-9852002E5F7E}" presName="cycleMatrixDiagram" presStyleCnt="0">
        <dgm:presLayoutVars>
          <dgm:chMax val="1"/>
          <dgm:dir/>
          <dgm:animLvl val="lvl"/>
          <dgm:resizeHandles val="exact"/>
        </dgm:presLayoutVars>
      </dgm:prSet>
      <dgm:spPr/>
    </dgm:pt>
    <dgm:pt modelId="{B5977645-9020-4E79-A91A-B788AE35C403}" type="pres">
      <dgm:prSet presAssocID="{B64243E5-FF46-46CE-8E86-9852002E5F7E}" presName="children" presStyleCnt="0"/>
      <dgm:spPr/>
    </dgm:pt>
    <dgm:pt modelId="{C7FAF78B-A09D-4E80-BD47-1767A668C8D3}" type="pres">
      <dgm:prSet presAssocID="{B64243E5-FF46-46CE-8E86-9852002E5F7E}" presName="childPlaceholder" presStyleCnt="0"/>
      <dgm:spPr/>
    </dgm:pt>
    <dgm:pt modelId="{1434C427-EBA0-4E42-8057-477F926D4DE3}" type="pres">
      <dgm:prSet presAssocID="{B64243E5-FF46-46CE-8E86-9852002E5F7E}" presName="circle" presStyleCnt="0"/>
      <dgm:spPr/>
    </dgm:pt>
    <dgm:pt modelId="{264BC734-2ABB-4C1D-BAC0-E0C6BB44E92F}" type="pres">
      <dgm:prSet presAssocID="{B64243E5-FF46-46CE-8E86-9852002E5F7E}" presName="quadrant1" presStyleLbl="node1" presStyleIdx="0" presStyleCnt="4">
        <dgm:presLayoutVars>
          <dgm:chMax val="1"/>
          <dgm:bulletEnabled val="1"/>
        </dgm:presLayoutVars>
      </dgm:prSet>
      <dgm:spPr/>
    </dgm:pt>
    <dgm:pt modelId="{96B3AF91-D3EF-4156-9D1B-064CD0B422CE}" type="pres">
      <dgm:prSet presAssocID="{B64243E5-FF46-46CE-8E86-9852002E5F7E}" presName="quadrant2" presStyleLbl="node1" presStyleIdx="1" presStyleCnt="4">
        <dgm:presLayoutVars>
          <dgm:chMax val="1"/>
          <dgm:bulletEnabled val="1"/>
        </dgm:presLayoutVars>
      </dgm:prSet>
      <dgm:spPr/>
    </dgm:pt>
    <dgm:pt modelId="{47DBFBF5-7D8E-4423-9966-099A32E0CDEF}" type="pres">
      <dgm:prSet presAssocID="{B64243E5-FF46-46CE-8E86-9852002E5F7E}" presName="quadrant3" presStyleLbl="node1" presStyleIdx="2" presStyleCnt="4">
        <dgm:presLayoutVars>
          <dgm:chMax val="1"/>
          <dgm:bulletEnabled val="1"/>
        </dgm:presLayoutVars>
      </dgm:prSet>
      <dgm:spPr/>
    </dgm:pt>
    <dgm:pt modelId="{B2ACE26B-3B7E-4847-A0A7-1B15322C9F67}" type="pres">
      <dgm:prSet presAssocID="{B64243E5-FF46-46CE-8E86-9852002E5F7E}" presName="quadrant4" presStyleLbl="node1" presStyleIdx="3" presStyleCnt="4">
        <dgm:presLayoutVars>
          <dgm:chMax val="1"/>
          <dgm:bulletEnabled val="1"/>
        </dgm:presLayoutVars>
      </dgm:prSet>
      <dgm:spPr/>
    </dgm:pt>
    <dgm:pt modelId="{9B14456D-9D94-428B-BF70-7CCFBDF6045D}" type="pres">
      <dgm:prSet presAssocID="{B64243E5-FF46-46CE-8E86-9852002E5F7E}" presName="quadrantPlaceholder" presStyleCnt="0"/>
      <dgm:spPr/>
    </dgm:pt>
    <dgm:pt modelId="{96863A47-3371-4017-843F-BCC480C13D6D}" type="pres">
      <dgm:prSet presAssocID="{B64243E5-FF46-46CE-8E86-9852002E5F7E}" presName="center1" presStyleLbl="fgShp" presStyleIdx="0" presStyleCnt="2"/>
      <dgm:spPr>
        <a:noFill/>
      </dgm:spPr>
    </dgm:pt>
    <dgm:pt modelId="{08768A98-2145-4E59-A8BC-43CFE29E5ABF}" type="pres">
      <dgm:prSet presAssocID="{B64243E5-FF46-46CE-8E86-9852002E5F7E}" presName="center2" presStyleLbl="fgShp" presStyleIdx="1" presStyleCnt="2"/>
      <dgm:spPr>
        <a:noFill/>
      </dgm:spPr>
    </dgm:pt>
  </dgm:ptLst>
  <dgm:cxnLst>
    <dgm:cxn modelId="{C9285204-8385-437A-85C0-7812A946065A}" srcId="{B64243E5-FF46-46CE-8E86-9852002E5F7E}" destId="{D99BC3B5-D426-423D-B0C2-FFF8A6E1B61A}" srcOrd="3" destOrd="0" parTransId="{F8683E6B-7CF2-4D07-960B-F4EB902708A5}" sibTransId="{59DFA20C-C2DA-4EEA-AADB-BAB1B7FB5F02}"/>
    <dgm:cxn modelId="{5E33F804-0827-4071-915D-CFBA8E6460FD}" srcId="{B64243E5-FF46-46CE-8E86-9852002E5F7E}" destId="{4048B786-71FF-4BC1-AFBB-9E28D2B6B4CE}" srcOrd="0" destOrd="0" parTransId="{7DAC4E9A-0289-47FF-ABC5-826797D0B0A5}" sibTransId="{A3C2A476-CBA4-4519-93DA-2590EE4F036E}"/>
    <dgm:cxn modelId="{EB885C47-BB6F-4F19-ACD0-214D3D28E139}" type="presOf" srcId="{E4AEEE60-0B8A-4C43-BD7C-7679E0468B13}" destId="{47DBFBF5-7D8E-4423-9966-099A32E0CDEF}" srcOrd="0" destOrd="0" presId="urn:microsoft.com/office/officeart/2005/8/layout/cycle4"/>
    <dgm:cxn modelId="{5295114E-5B2F-4712-AA76-BEC170110EE2}" srcId="{B64243E5-FF46-46CE-8E86-9852002E5F7E}" destId="{FF8ABE50-12B8-4351-BBA5-AA26708EB312}" srcOrd="1" destOrd="0" parTransId="{EFC57754-0A49-457D-9915-81E2D4935029}" sibTransId="{9F31356C-0563-44A6-BA96-0E8FC1097E87}"/>
    <dgm:cxn modelId="{129B898B-422D-4F94-979E-3579260F3554}" type="presOf" srcId="{D99BC3B5-D426-423D-B0C2-FFF8A6E1B61A}" destId="{B2ACE26B-3B7E-4847-A0A7-1B15322C9F67}" srcOrd="0" destOrd="0" presId="urn:microsoft.com/office/officeart/2005/8/layout/cycle4"/>
    <dgm:cxn modelId="{CA558DCA-652C-4067-BC5A-B807AB3B8BB2}" type="presOf" srcId="{FF8ABE50-12B8-4351-BBA5-AA26708EB312}" destId="{96B3AF91-D3EF-4156-9D1B-064CD0B422CE}" srcOrd="0" destOrd="0" presId="urn:microsoft.com/office/officeart/2005/8/layout/cycle4"/>
    <dgm:cxn modelId="{5FCB06D2-8950-4B22-AA5C-6CB1C45C8238}" type="presOf" srcId="{4048B786-71FF-4BC1-AFBB-9E28D2B6B4CE}" destId="{264BC734-2ABB-4C1D-BAC0-E0C6BB44E92F}" srcOrd="0" destOrd="0" presId="urn:microsoft.com/office/officeart/2005/8/layout/cycle4"/>
    <dgm:cxn modelId="{372E61D6-D52A-4001-B6BF-4B33108A92CF}" srcId="{B64243E5-FF46-46CE-8E86-9852002E5F7E}" destId="{E4AEEE60-0B8A-4C43-BD7C-7679E0468B13}" srcOrd="2" destOrd="0" parTransId="{229A140F-61A6-4811-AC43-BCAEF51AFE01}" sibTransId="{3D137A07-0C59-4A2B-9721-7A7BE4143B92}"/>
    <dgm:cxn modelId="{26BDA5F8-9F43-47C0-9BD1-5B96674343DD}" type="presOf" srcId="{B64243E5-FF46-46CE-8E86-9852002E5F7E}" destId="{95328DE2-C0B1-4AFA-AF6B-C7EE4863C1AB}" srcOrd="0" destOrd="0" presId="urn:microsoft.com/office/officeart/2005/8/layout/cycle4"/>
    <dgm:cxn modelId="{35003916-8A09-481F-A734-632CED4B0DD3}" type="presParOf" srcId="{95328DE2-C0B1-4AFA-AF6B-C7EE4863C1AB}" destId="{B5977645-9020-4E79-A91A-B788AE35C403}" srcOrd="0" destOrd="0" presId="urn:microsoft.com/office/officeart/2005/8/layout/cycle4"/>
    <dgm:cxn modelId="{CB11F847-AEB1-4D0D-92B2-F55AC65CBB17}" type="presParOf" srcId="{B5977645-9020-4E79-A91A-B788AE35C403}" destId="{C7FAF78B-A09D-4E80-BD47-1767A668C8D3}" srcOrd="0" destOrd="0" presId="urn:microsoft.com/office/officeart/2005/8/layout/cycle4"/>
    <dgm:cxn modelId="{59DE880C-4F98-47A0-90BE-4D4597092C1D}" type="presParOf" srcId="{95328DE2-C0B1-4AFA-AF6B-C7EE4863C1AB}" destId="{1434C427-EBA0-4E42-8057-477F926D4DE3}" srcOrd="1" destOrd="0" presId="urn:microsoft.com/office/officeart/2005/8/layout/cycle4"/>
    <dgm:cxn modelId="{C8691A20-1CE1-49D9-B2A7-688C1A4EBB59}" type="presParOf" srcId="{1434C427-EBA0-4E42-8057-477F926D4DE3}" destId="{264BC734-2ABB-4C1D-BAC0-E0C6BB44E92F}" srcOrd="0" destOrd="0" presId="urn:microsoft.com/office/officeart/2005/8/layout/cycle4"/>
    <dgm:cxn modelId="{D612D97E-824A-4D80-AD7E-94D3158BF446}" type="presParOf" srcId="{1434C427-EBA0-4E42-8057-477F926D4DE3}" destId="{96B3AF91-D3EF-4156-9D1B-064CD0B422CE}" srcOrd="1" destOrd="0" presId="urn:microsoft.com/office/officeart/2005/8/layout/cycle4"/>
    <dgm:cxn modelId="{082E4404-3AE6-44F1-B2D7-3CBF0C7009F3}" type="presParOf" srcId="{1434C427-EBA0-4E42-8057-477F926D4DE3}" destId="{47DBFBF5-7D8E-4423-9966-099A32E0CDEF}" srcOrd="2" destOrd="0" presId="urn:microsoft.com/office/officeart/2005/8/layout/cycle4"/>
    <dgm:cxn modelId="{C3D1B436-CBB8-44D8-A927-7DE62BA439B7}" type="presParOf" srcId="{1434C427-EBA0-4E42-8057-477F926D4DE3}" destId="{B2ACE26B-3B7E-4847-A0A7-1B15322C9F67}" srcOrd="3" destOrd="0" presId="urn:microsoft.com/office/officeart/2005/8/layout/cycle4"/>
    <dgm:cxn modelId="{D2271D0C-C7CF-4459-8EDF-8C3A26F67DB1}" type="presParOf" srcId="{1434C427-EBA0-4E42-8057-477F926D4DE3}" destId="{9B14456D-9D94-428B-BF70-7CCFBDF6045D}" srcOrd="4" destOrd="0" presId="urn:microsoft.com/office/officeart/2005/8/layout/cycle4"/>
    <dgm:cxn modelId="{4D7FAB16-6462-4318-842E-82EAD8C4C99A}" type="presParOf" srcId="{95328DE2-C0B1-4AFA-AF6B-C7EE4863C1AB}" destId="{96863A47-3371-4017-843F-BCC480C13D6D}" srcOrd="2" destOrd="0" presId="urn:microsoft.com/office/officeart/2005/8/layout/cycle4"/>
    <dgm:cxn modelId="{2B05D690-337B-4BEA-9F8C-4346987E8F35}" type="presParOf" srcId="{95328DE2-C0B1-4AFA-AF6B-C7EE4863C1AB}" destId="{08768A98-2145-4E59-A8BC-43CFE29E5ABF}" srcOrd="3" destOrd="0" presId="urn:microsoft.com/office/officeart/2005/8/layout/cycle4"/>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64BC734-2ABB-4C1D-BAC0-E0C6BB44E92F}">
      <dsp:nvSpPr>
        <dsp:cNvPr id="0" name=""/>
        <dsp:cNvSpPr/>
      </dsp:nvSpPr>
      <dsp:spPr>
        <a:xfrm>
          <a:off x="1779091" y="210654"/>
          <a:ext cx="1600238" cy="1600238"/>
        </a:xfrm>
        <a:prstGeom prst="pieWedge">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Business</a:t>
          </a:r>
        </a:p>
      </dsp:txBody>
      <dsp:txXfrm>
        <a:off x="2247790" y="679353"/>
        <a:ext cx="1131539" cy="1131539"/>
      </dsp:txXfrm>
    </dsp:sp>
    <dsp:sp modelId="{96B3AF91-D3EF-4156-9D1B-064CD0B422CE}">
      <dsp:nvSpPr>
        <dsp:cNvPr id="0" name=""/>
        <dsp:cNvSpPr/>
      </dsp:nvSpPr>
      <dsp:spPr>
        <a:xfrm rot="5400000">
          <a:off x="3453244" y="210654"/>
          <a:ext cx="1600238" cy="1600238"/>
        </a:xfrm>
        <a:prstGeom prst="pieWedg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Territories</a:t>
          </a:r>
        </a:p>
      </dsp:txBody>
      <dsp:txXfrm rot="-5400000">
        <a:off x="3453244" y="679353"/>
        <a:ext cx="1131539" cy="1131539"/>
      </dsp:txXfrm>
    </dsp:sp>
    <dsp:sp modelId="{47DBFBF5-7D8E-4423-9966-099A32E0CDEF}">
      <dsp:nvSpPr>
        <dsp:cNvPr id="0" name=""/>
        <dsp:cNvSpPr/>
      </dsp:nvSpPr>
      <dsp:spPr>
        <a:xfrm rot="10800000">
          <a:off x="3453244" y="1884807"/>
          <a:ext cx="1600238" cy="1600238"/>
        </a:xfrm>
        <a:prstGeom prst="pieWedge">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Accounts</a:t>
          </a:r>
        </a:p>
      </dsp:txBody>
      <dsp:txXfrm rot="10800000">
        <a:off x="3453244" y="1884807"/>
        <a:ext cx="1131539" cy="1131539"/>
      </dsp:txXfrm>
    </dsp:sp>
    <dsp:sp modelId="{B2ACE26B-3B7E-4847-A0A7-1B15322C9F67}">
      <dsp:nvSpPr>
        <dsp:cNvPr id="0" name=""/>
        <dsp:cNvSpPr/>
      </dsp:nvSpPr>
      <dsp:spPr>
        <a:xfrm rot="16200000">
          <a:off x="1779091" y="1884807"/>
          <a:ext cx="1600238" cy="1600238"/>
        </a:xfrm>
        <a:prstGeom prst="pieWedge">
          <a:avLst/>
        </a:prstGeom>
        <a:solidFill>
          <a:srgbClr val="FFC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Deals</a:t>
          </a:r>
        </a:p>
      </dsp:txBody>
      <dsp:txXfrm rot="5400000">
        <a:off x="2247790" y="1884807"/>
        <a:ext cx="1131539" cy="1131539"/>
      </dsp:txXfrm>
    </dsp:sp>
    <dsp:sp modelId="{96863A47-3371-4017-843F-BCC480C13D6D}">
      <dsp:nvSpPr>
        <dsp:cNvPr id="0" name=""/>
        <dsp:cNvSpPr/>
      </dsp:nvSpPr>
      <dsp:spPr>
        <a:xfrm>
          <a:off x="3140033" y="1515237"/>
          <a:ext cx="552507" cy="480441"/>
        </a:xfrm>
        <a:prstGeom prst="circularArrow">
          <a:avLst/>
        </a:prstGeom>
        <a:no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8768A98-2145-4E59-A8BC-43CFE29E5ABF}">
      <dsp:nvSpPr>
        <dsp:cNvPr id="0" name=""/>
        <dsp:cNvSpPr/>
      </dsp:nvSpPr>
      <dsp:spPr>
        <a:xfrm rot="10800000">
          <a:off x="3140033" y="1700022"/>
          <a:ext cx="552507" cy="480441"/>
        </a:xfrm>
        <a:prstGeom prst="circularArrow">
          <a:avLst/>
        </a:prstGeom>
        <a:no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4">
  <dgm:title val=""/>
  <dgm:desc val=""/>
  <dgm:catLst>
    <dgm:cat type="relationship" pri="26000"/>
    <dgm:cat type="cycle" pri="13000"/>
    <dgm:cat type="matrix" pri="4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sampData>
  <dgm:style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cycleMatrixDiagram">
    <dgm:varLst>
      <dgm:chMax val="1"/>
      <dgm:dir/>
      <dgm:animLvl val="lvl"/>
      <dgm:resizeHandles val="exact"/>
    </dgm:varLst>
    <dgm:alg type="composite">
      <dgm:param type="ar" val="1.3"/>
    </dgm:alg>
    <dgm:shape xmlns:r="http://schemas.openxmlformats.org/officeDocument/2006/relationships" r:blip="">
      <dgm:adjLst/>
    </dgm:shape>
    <dgm:presOf/>
    <dgm:constrLst>
      <dgm:constr type="w" for="ch" forName="children" refType="w"/>
      <dgm:constr type="h" for="ch" forName="children" refType="w" refFor="ch" refForName="children" fact="0.77"/>
      <dgm:constr type="ctrX" for="ch" forName="children" refType="w" fact="0.5"/>
      <dgm:constr type="ctrY" for="ch" forName="children" refType="h" fact="0.5"/>
      <dgm:constr type="w" for="ch" forName="circle" refType="w"/>
      <dgm:constr type="h" for="ch" forName="circle" refType="h"/>
      <dgm:constr type="ctrX" for="ch" forName="circle" refType="w" fact="0.5"/>
      <dgm:constr type="ctrY" for="ch" forName="circle" refType="h" fact="0.5"/>
      <dgm:constr type="w" for="ch" forName="center1" refType="w" fact="0.115"/>
      <dgm:constr type="h" for="ch" forName="center1" refType="w" fact="0.1"/>
      <dgm:constr type="ctrX" for="ch" forName="center1" refType="w" fact="0.5"/>
      <dgm:constr type="ctrY" for="ch" forName="center1" refType="h" fact="0.475"/>
      <dgm:constr type="w" for="ch" forName="center2" refType="w" fact="0.115"/>
      <dgm:constr type="h" for="ch" forName="center2" refType="w" fact="0.1"/>
      <dgm:constr type="ctrX" for="ch" forName="center2" refType="w" fact="0.5"/>
      <dgm:constr type="ctrY" for="ch" forName="center2" refType="h" fact="0.525"/>
    </dgm:constrLst>
    <dgm:ruleLst/>
    <dgm:choose name="Name0">
      <dgm:if name="Name1" axis="ch" ptType="node" func="cnt" op="gte" val="1">
        <dgm:layoutNode name="children">
          <dgm:alg type="composite">
            <dgm:param type="ar" val="1.3"/>
          </dgm:alg>
          <dgm:shape xmlns:r="http://schemas.openxmlformats.org/officeDocument/2006/relationships" r:blip="">
            <dgm:adjLst/>
          </dgm:shape>
          <dgm:presOf/>
          <dgm:choose name="Name2">
            <dgm:if name="Name3" func="var" arg="dir" op="equ" val="norm">
              <dgm:constrLst>
                <dgm:constr type="primFontSz" for="des" ptType="node" op="equ" val="65"/>
                <dgm:constr type="w" for="ch" forName="child1group" refType="w" fact="0.38"/>
                <dgm:constr type="h" for="ch" forName="child1group" refType="h" fact="0.32"/>
                <dgm:constr type="t" for="ch" forName="child1group"/>
                <dgm:constr type="l" for="ch" forName="child1group"/>
                <dgm:constr type="w" for="ch" forName="child2group" refType="w" fact="0.38"/>
                <dgm:constr type="h" for="ch" forName="child2group" refType="h" fact="0.32"/>
                <dgm:constr type="t" for="ch" forName="child2group"/>
                <dgm:constr type="r" for="ch" forName="child2group" refType="w"/>
                <dgm:constr type="w" for="ch" forName="child3group" refType="w" fact="0.38"/>
                <dgm:constr type="h" for="ch" forName="child3group" refType="h" fact="0.32"/>
                <dgm:constr type="b" for="ch" forName="child3group" refType="h"/>
                <dgm:constr type="r" for="ch" forName="child3group" refType="w"/>
                <dgm:constr type="w" for="ch" forName="child4group" refType="w" fact="0.38"/>
                <dgm:constr type="h" for="ch" forName="child4group" refType="h" fact="0.32"/>
                <dgm:constr type="b" for="ch" forName="child4group" refType="h"/>
                <dgm:constr type="l" for="ch" forName="child4group"/>
              </dgm:constrLst>
            </dgm:if>
            <dgm:else name="Name4">
              <dgm:constrLst>
                <dgm:constr type="primFontSz" for="des" ptType="node" op="equ" val="65"/>
                <dgm:constr type="w" for="ch" forName="child1group" refType="w" fact="0.38"/>
                <dgm:constr type="h" for="ch" forName="child1group" refType="h" fact="0.32"/>
                <dgm:constr type="t" for="ch" forName="child1group"/>
                <dgm:constr type="r" for="ch" forName="child1group" refType="w"/>
                <dgm:constr type="w" for="ch" forName="child2group" refType="w" fact="0.38"/>
                <dgm:constr type="h" for="ch" forName="child2group" refType="h" fact="0.32"/>
                <dgm:constr type="t" for="ch" forName="child2group"/>
                <dgm:constr type="l" for="ch" forName="child2group"/>
                <dgm:constr type="w" for="ch" forName="child3group" refType="w" fact="0.38"/>
                <dgm:constr type="h" for="ch" forName="child3group" refType="h" fact="0.32"/>
                <dgm:constr type="b" for="ch" forName="child3group" refType="h"/>
                <dgm:constr type="l" for="ch" forName="child3group"/>
                <dgm:constr type="w" for="ch" forName="child4group" refType="w" fact="0.38"/>
                <dgm:constr type="h" for="ch" forName="child4group" refType="h" fact="0.32"/>
                <dgm:constr type="b" for="ch" forName="child4group" refType="h"/>
                <dgm:constr type="r" for="ch" forName="child4group" refType="w"/>
              </dgm:constrLst>
            </dgm:else>
          </dgm:choose>
          <dgm:ruleLst/>
          <dgm:choose name="Name5">
            <dgm:if name="Name6" axis="ch ch" ptType="node node" st="1 1" cnt="1 0" func="cnt" op="gte" val="1">
              <dgm:layoutNode name="child1group">
                <dgm:alg type="composite">
                  <dgm:param type="horzAlign" val="none"/>
                  <dgm:param type="vertAlign" val="none"/>
                </dgm:alg>
                <dgm:shape xmlns:r="http://schemas.openxmlformats.org/officeDocument/2006/relationships" r:blip="">
                  <dgm:adjLst/>
                </dgm:shape>
                <dgm:presOf/>
                <dgm:choose name="Name7">
                  <dgm:if name="Name8" func="var" arg="dir" op="equ" val="norm">
                    <dgm:constrLst>
                      <dgm:constr type="w" for="ch" forName="child1" refType="w"/>
                      <dgm:constr type="h" for="ch" forName="child1" refType="h"/>
                      <dgm:constr type="t" for="ch" forName="child1"/>
                      <dgm:constr type="l" for="ch" forName="child1"/>
                      <dgm:constr type="w" for="ch" forName="child1Text" refType="w" fact="0.7"/>
                      <dgm:constr type="h" for="ch" forName="child1Text" refType="h" fact="0.75"/>
                      <dgm:constr type="t" for="ch" forName="child1Text"/>
                      <dgm:constr type="l" for="ch" forName="child1Text"/>
                    </dgm:constrLst>
                  </dgm:if>
                  <dgm:else name="Name9">
                    <dgm:constrLst>
                      <dgm:constr type="w" for="ch" forName="child1" refType="w"/>
                      <dgm:constr type="h" for="ch" forName="child1" refType="h"/>
                      <dgm:constr type="t" for="ch" forName="child1"/>
                      <dgm:constr type="r" for="ch" forName="child1" refType="w"/>
                      <dgm:constr type="w" for="ch" forName="child1Text" refType="w" fact="0.7"/>
                      <dgm:constr type="h" for="ch" forName="child1Text" refType="h" fact="0.75"/>
                      <dgm:constr type="t" for="ch" forName="child1Text"/>
                      <dgm:constr type="r" for="ch" forName="child1Text" refType="w"/>
                    </dgm:constrLst>
                  </dgm:else>
                </dgm:choose>
                <dgm:ruleLst/>
                <dgm:layoutNode name="child1" styleLbl="bgAcc1">
                  <dgm:alg type="sp"/>
                  <dgm:shape xmlns:r="http://schemas.openxmlformats.org/officeDocument/2006/relationships" type="roundRect" r:blip="" zOrderOff="-2">
                    <dgm:adjLst>
                      <dgm:adj idx="1" val="0.1"/>
                    </dgm:adjLst>
                  </dgm:shape>
                  <dgm:presOf axis="ch des" ptType="node node" st="1 1" cnt="1 0"/>
                  <dgm:constrLst/>
                  <dgm:ruleLst/>
                </dgm:layoutNode>
                <dgm:layoutNode name="child1Text" styleLbl="bgAcc1">
                  <dgm:varLst>
                    <dgm:bulletEnabled val="1"/>
                  </dgm:varLst>
                  <dgm:alg type="tx">
                    <dgm:param type="stBulletLvl" val="1"/>
                  </dgm:alg>
                  <dgm:shape xmlns:r="http://schemas.openxmlformats.org/officeDocument/2006/relationships" type="roundRect" r:blip="" zOrderOff="-2" hideGeom="1">
                    <dgm:adjLst>
                      <dgm:adj idx="1" val="0.1"/>
                    </dgm:adjLst>
                  </dgm:shape>
                  <dgm:presOf axis="ch des"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10"/>
          </dgm:choose>
          <dgm:choose name="Name11">
            <dgm:if name="Name12" axis="ch ch" ptType="node node" st="2 1" cnt="1 0" func="cnt" op="gte" val="1">
              <dgm:layoutNode name="child2group">
                <dgm:alg type="composite">
                  <dgm:param type="horzAlign" val="none"/>
                  <dgm:param type="vertAlign" val="none"/>
                </dgm:alg>
                <dgm:shape xmlns:r="http://schemas.openxmlformats.org/officeDocument/2006/relationships" r:blip="">
                  <dgm:adjLst/>
                </dgm:shape>
                <dgm:choose name="Name13">
                  <dgm:if name="Name14" func="var" arg="dir" op="equ" val="norm">
                    <dgm:constrLst>
                      <dgm:constr type="w" for="ch" forName="child2" refType="w"/>
                      <dgm:constr type="h" for="ch" forName="child2" refType="h"/>
                      <dgm:constr type="t" for="ch" forName="child2"/>
                      <dgm:constr type="r" for="ch" forName="child2" refType="w"/>
                      <dgm:constr type="w" for="ch" forName="child2Text" refType="w" fact="0.7"/>
                      <dgm:constr type="h" for="ch" forName="child2Text" refType="h" fact="0.75"/>
                      <dgm:constr type="t" for="ch" forName="child2Text"/>
                      <dgm:constr type="r" for="ch" forName="child2Text" refType="w"/>
                    </dgm:constrLst>
                  </dgm:if>
                  <dgm:else name="Name15">
                    <dgm:constrLst>
                      <dgm:constr type="w" for="ch" forName="child2" refType="w"/>
                      <dgm:constr type="h" for="ch" forName="child2" refType="h"/>
                      <dgm:constr type="t" for="ch" forName="child2"/>
                      <dgm:constr type="l" for="ch" forName="child2"/>
                      <dgm:constr type="w" for="ch" forName="child2Text" refType="w" fact="0.7"/>
                      <dgm:constr type="h" for="ch" forName="child2Text" refType="h" fact="0.75"/>
                      <dgm:constr type="t" for="ch" forName="child2Text"/>
                      <dgm:constr type="l" for="ch" forName="child2Text"/>
                    </dgm:constrLst>
                  </dgm:else>
                </dgm:choose>
                <dgm:ruleLst/>
                <dgm:layoutNode name="child2" styleLbl="bgAcc1">
                  <dgm:alg type="sp"/>
                  <dgm:shape xmlns:r="http://schemas.openxmlformats.org/officeDocument/2006/relationships" type="roundRect" r:blip="" zOrderOff="-2">
                    <dgm:adjLst>
                      <dgm:adj idx="1" val="0.1"/>
                    </dgm:adjLst>
                  </dgm:shape>
                  <dgm:presOf axis="ch des" ptType="node node" st="2 1" cnt="1 0"/>
                  <dgm:constrLst/>
                  <dgm:ruleLst/>
                </dgm:layoutNode>
                <dgm:layoutNode name="child2Text" styleLbl="bgAcc1">
                  <dgm:varLst>
                    <dgm:bulletEnabled val="1"/>
                  </dgm:varLst>
                  <dgm:alg type="tx">
                    <dgm:param type="stBulletLvl" val="1"/>
                  </dgm:alg>
                  <dgm:shape xmlns:r="http://schemas.openxmlformats.org/officeDocument/2006/relationships" type="roundRect" r:blip="" zOrderOff="-2" hideGeom="1">
                    <dgm:adjLst>
                      <dgm:adj idx="1" val="0.1"/>
                    </dgm:adjLst>
                  </dgm:shape>
                  <dgm:presOf axis="ch des"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16"/>
          </dgm:choose>
          <dgm:choose name="Name17">
            <dgm:if name="Name18" axis="ch ch" ptType="node node" st="3 1" cnt="1 0" func="cnt" op="gte" val="1">
              <dgm:layoutNode name="child3group">
                <dgm:alg type="composite">
                  <dgm:param type="horzAlign" val="none"/>
                  <dgm:param type="vertAlign" val="none"/>
                </dgm:alg>
                <dgm:shape xmlns:r="http://schemas.openxmlformats.org/officeDocument/2006/relationships" r:blip="">
                  <dgm:adjLst/>
                </dgm:shape>
                <dgm:presOf/>
                <dgm:choose name="Name19">
                  <dgm:if name="Name20" func="var" arg="dir" op="equ" val="norm">
                    <dgm:constrLst>
                      <dgm:constr type="w" for="ch" forName="child3" refType="w"/>
                      <dgm:constr type="h" for="ch" forName="child3" refType="h"/>
                      <dgm:constr type="b" for="ch" forName="child3" refType="h"/>
                      <dgm:constr type="r" for="ch" forName="child3" refType="w"/>
                      <dgm:constr type="w" for="ch" forName="child3Text" refType="w" fact="0.7"/>
                      <dgm:constr type="h" for="ch" forName="child3Text" refType="h" fact="0.75"/>
                      <dgm:constr type="b" for="ch" forName="child3Text" refType="h"/>
                      <dgm:constr type="r" for="ch" forName="child3Text" refType="w"/>
                    </dgm:constrLst>
                  </dgm:if>
                  <dgm:else name="Name21">
                    <dgm:constrLst>
                      <dgm:constr type="w" for="ch" forName="child3" refType="w"/>
                      <dgm:constr type="h" for="ch" forName="child3" refType="h"/>
                      <dgm:constr type="b" for="ch" forName="child3" refType="h"/>
                      <dgm:constr type="l" for="ch" forName="child3"/>
                      <dgm:constr type="w" for="ch" forName="child3Text" refType="w" fact="0.7"/>
                      <dgm:constr type="h" for="ch" forName="child3Text" refType="h" fact="0.75"/>
                      <dgm:constr type="b" for="ch" forName="child3Text" refType="h"/>
                      <dgm:constr type="l" for="ch" forName="child3Text"/>
                    </dgm:constrLst>
                  </dgm:else>
                </dgm:choose>
                <dgm:ruleLst/>
                <dgm:layoutNode name="child3" styleLbl="bgAcc1">
                  <dgm:alg type="sp"/>
                  <dgm:shape xmlns:r="http://schemas.openxmlformats.org/officeDocument/2006/relationships" type="roundRect" r:blip="" zOrderOff="-4">
                    <dgm:adjLst>
                      <dgm:adj idx="1" val="0.1"/>
                    </dgm:adjLst>
                  </dgm:shape>
                  <dgm:presOf axis="ch des" ptType="node node" st="3 1" cnt="1 0"/>
                  <dgm:constrLst/>
                  <dgm:ruleLst/>
                </dgm:layoutNode>
                <dgm:layoutNode name="child3Text" styleLbl="bgAcc1">
                  <dgm:varLst>
                    <dgm:bulletEnabled val="1"/>
                  </dgm:varLst>
                  <dgm:alg type="tx">
                    <dgm:param type="stBulletLvl" val="1"/>
                  </dgm:alg>
                  <dgm:shape xmlns:r="http://schemas.openxmlformats.org/officeDocument/2006/relationships" type="roundRect" r:blip="" zOrderOff="-4" hideGeom="1">
                    <dgm:adjLst>
                      <dgm:adj idx="1" val="0.1"/>
                    </dgm:adjLst>
                  </dgm:shape>
                  <dgm:presOf axis="ch des" ptType="node node" st="3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22"/>
          </dgm:choose>
          <dgm:choose name="Name23">
            <dgm:if name="Name24" axis="ch ch" ptType="node node" st="4 1" cnt="1 0" func="cnt" op="gte" val="1">
              <dgm:layoutNode name="child4group">
                <dgm:alg type="composite">
                  <dgm:param type="horzAlign" val="none"/>
                  <dgm:param type="vertAlign" val="none"/>
                </dgm:alg>
                <dgm:shape xmlns:r="http://schemas.openxmlformats.org/officeDocument/2006/relationships" r:blip="">
                  <dgm:adjLst/>
                </dgm:shape>
                <dgm:presOf/>
                <dgm:choose name="Name25">
                  <dgm:if name="Name26" func="var" arg="dir" op="equ" val="norm">
                    <dgm:constrLst>
                      <dgm:constr type="w" for="ch" forName="child4" refType="w"/>
                      <dgm:constr type="h" for="ch" forName="child4" refType="h"/>
                      <dgm:constr type="b" for="ch" forName="child4" refType="h"/>
                      <dgm:constr type="l" for="ch" forName="child4"/>
                      <dgm:constr type="w" for="ch" forName="child4Text" refType="w" fact="0.7"/>
                      <dgm:constr type="h" for="ch" forName="child4Text" refType="h" fact="0.75"/>
                      <dgm:constr type="b" for="ch" forName="child4Text" refType="h"/>
                      <dgm:constr type="l" for="ch" forName="child4Text"/>
                    </dgm:constrLst>
                  </dgm:if>
                  <dgm:else name="Name27">
                    <dgm:constrLst>
                      <dgm:constr type="w" for="ch" forName="child4" refType="w"/>
                      <dgm:constr type="h" for="ch" forName="child4" refType="h"/>
                      <dgm:constr type="b" for="ch" forName="child4" refType="h"/>
                      <dgm:constr type="r" for="ch" forName="child4" refType="w"/>
                      <dgm:constr type="w" for="ch" forName="child4Text" refType="w" fact="0.7"/>
                      <dgm:constr type="h" for="ch" forName="child4Text" refType="h" fact="0.75"/>
                      <dgm:constr type="b" for="ch" forName="child4Text" refType="h"/>
                      <dgm:constr type="r" for="ch" forName="child4Text" refType="w"/>
                    </dgm:constrLst>
                  </dgm:else>
                </dgm:choose>
                <dgm:ruleLst/>
                <dgm:layoutNode name="child4" styleLbl="bgAcc1">
                  <dgm:alg type="sp"/>
                  <dgm:shape xmlns:r="http://schemas.openxmlformats.org/officeDocument/2006/relationships" type="roundRect" r:blip="" zOrderOff="-4">
                    <dgm:adjLst>
                      <dgm:adj idx="1" val="0.1"/>
                    </dgm:adjLst>
                  </dgm:shape>
                  <dgm:presOf axis="ch des" ptType="node node" st="4 1" cnt="1 0"/>
                  <dgm:constrLst/>
                  <dgm:ruleLst/>
                </dgm:layoutNode>
                <dgm:layoutNode name="child4Text" styleLbl="bgAcc1">
                  <dgm:varLst>
                    <dgm:bulletEnabled val="1"/>
                  </dgm:varLst>
                  <dgm:alg type="tx">
                    <dgm:param type="stBulletLvl" val="1"/>
                  </dgm:alg>
                  <dgm:shape xmlns:r="http://schemas.openxmlformats.org/officeDocument/2006/relationships" type="roundRect" r:blip="" zOrderOff="-4" hideGeom="1">
                    <dgm:adjLst>
                      <dgm:adj idx="1" val="0.1"/>
                    </dgm:adjLst>
                  </dgm:shape>
                  <dgm:presOf axis="ch des" ptType="node node" st="4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28"/>
          </dgm:choose>
          <dgm:layoutNode name="childPlaceholder">
            <dgm:alg type="sp"/>
            <dgm:shape xmlns:r="http://schemas.openxmlformats.org/officeDocument/2006/relationships" r:blip="">
              <dgm:adjLst/>
            </dgm:shape>
            <dgm:presOf/>
            <dgm:constrLst/>
            <dgm:ruleLst/>
          </dgm:layoutNode>
        </dgm:layoutNode>
        <dgm:layoutNode name="circle">
          <dgm:alg type="composite">
            <dgm:param type="ar" val="1"/>
          </dgm:alg>
          <dgm:shape xmlns:r="http://schemas.openxmlformats.org/officeDocument/2006/relationships" r:blip="">
            <dgm:adjLst/>
          </dgm:shape>
          <dgm:presOf/>
          <dgm:choose name="Name29">
            <dgm:if name="Name30" func="var" arg="dir" op="equ" val="norm">
              <dgm:constrLst>
                <dgm:constr type="primFontSz" for="ch" ptType="node" op="equ" val="65"/>
                <dgm:constr type="w" for="ch" forName="quadrant1" refType="w" fact="0.433"/>
                <dgm:constr type="h" for="ch" forName="quadrant1" refType="h" fact="0.433"/>
                <dgm:constr type="b" for="ch" forName="quadrant1" refType="h" fact="0.5"/>
                <dgm:constr type="bOff" for="ch" forName="quadrant1" refType="h" fact="-0.01"/>
                <dgm:constr type="r" for="ch" forName="quadrant1" refType="w" fact="0.5"/>
                <dgm:constr type="rOff" for="ch" forName="quadrant1" refType="w" fact="-0.01"/>
                <dgm:constr type="w" for="ch" forName="quadrant2" refType="w" fact="0.433"/>
                <dgm:constr type="h" for="ch" forName="quadrant2" refType="h" fact="0.433"/>
                <dgm:constr type="b" for="ch" forName="quadrant2" refType="h" fact="0.5"/>
                <dgm:constr type="bOff" for="ch" forName="quadrant2" refType="h" fact="-0.01"/>
                <dgm:constr type="l" for="ch" forName="quadrant2" refType="w" fact="0.5"/>
                <dgm:constr type="lOff" for="ch" forName="quadrant2" refType="w" fact="0.01"/>
                <dgm:constr type="w" for="ch" forName="quadrant3" refType="w" fact="0.433"/>
                <dgm:constr type="h" for="ch" forName="quadrant3" refType="h" fact="0.433"/>
                <dgm:constr type="t" for="ch" forName="quadrant3" refType="h" fact="0.5"/>
                <dgm:constr type="tOff" for="ch" forName="quadrant3" refType="h" fact="0.01"/>
                <dgm:constr type="l" for="ch" forName="quadrant3" refType="w" fact="0.5"/>
                <dgm:constr type="lOff" for="ch" forName="quadrant3" refType="w" fact="0.01"/>
                <dgm:constr type="w" for="ch" forName="quadrant4" refType="w" fact="0.433"/>
                <dgm:constr type="h" for="ch" forName="quadrant4" refType="h" fact="0.433"/>
                <dgm:constr type="t" for="ch" forName="quadrant4" refType="h" fact="0.5"/>
                <dgm:constr type="tOff" for="ch" forName="quadrant4" refType="h" fact="0.01"/>
                <dgm:constr type="r" for="ch" forName="quadrant4" refType="w" fact="0.5"/>
                <dgm:constr type="rOff" for="ch" forName="quadrant4" refType="w" fact="-0.01"/>
              </dgm:constrLst>
            </dgm:if>
            <dgm:else name="Name31">
              <dgm:constrLst>
                <dgm:constr type="primFontSz" for="ch" ptType="node" op="equ" val="65"/>
                <dgm:constr type="w" for="ch" forName="quadrant1" refType="w" fact="0.433"/>
                <dgm:constr type="h" for="ch" forName="quadrant1" refType="h" fact="0.433"/>
                <dgm:constr type="b" for="ch" forName="quadrant1" refType="h" fact="0.5"/>
                <dgm:constr type="bOff" for="ch" forName="quadrant1" refType="h" fact="-0.01"/>
                <dgm:constr type="l" for="ch" forName="quadrant1" refType="w" fact="0.5"/>
                <dgm:constr type="lOff" for="ch" forName="quadrant1" refType="w" fact="0.01"/>
                <dgm:constr type="w" for="ch" forName="quadrant2" refType="w" fact="0.433"/>
                <dgm:constr type="h" for="ch" forName="quadrant2" refType="h" fact="0.433"/>
                <dgm:constr type="b" for="ch" forName="quadrant2" refType="h" fact="0.5"/>
                <dgm:constr type="bOff" for="ch" forName="quadrant2" refType="h" fact="-0.01"/>
                <dgm:constr type="r" for="ch" forName="quadrant2" refType="w" fact="0.5"/>
                <dgm:constr type="rOff" for="ch" forName="quadrant2" refType="w" fact="-0.01"/>
                <dgm:constr type="w" for="ch" forName="quadrant3" refType="w" fact="0.433"/>
                <dgm:constr type="h" for="ch" forName="quadrant3" refType="h" fact="0.433"/>
                <dgm:constr type="t" for="ch" forName="quadrant3" refType="h" fact="0.5"/>
                <dgm:constr type="tOff" for="ch" forName="quadrant3" refType="h" fact="0.01"/>
                <dgm:constr type="r" for="ch" forName="quadrant3" refType="w" fact="0.5"/>
                <dgm:constr type="rOff" for="ch" forName="quadrant3" refType="w" fact="-0.01"/>
                <dgm:constr type="w" for="ch" forName="quadrant4" refType="w" fact="0.433"/>
                <dgm:constr type="h" for="ch" forName="quadrant4" refType="h" fact="0.433"/>
                <dgm:constr type="t" for="ch" forName="quadrant4" refType="h" fact="0.5"/>
                <dgm:constr type="tOff" for="ch" forName="quadrant4" refType="h" fact="0.01"/>
                <dgm:constr type="l" for="ch" forName="quadrant4" refType="w" fact="0.5"/>
                <dgm:constr type="lOff" for="ch" forName="quadrant4" refType="w" fact="0.01"/>
              </dgm:constrLst>
            </dgm:else>
          </dgm:choose>
          <dgm:ruleLst/>
          <dgm:layoutNode name="quadrant1" styleLbl="node1">
            <dgm:varLst>
              <dgm:chMax val="1"/>
              <dgm:bulletEnabled val="1"/>
            </dgm:varLst>
            <dgm:alg type="tx"/>
            <dgm:choose name="Name32">
              <dgm:if name="Name33" func="var" arg="dir" op="equ" val="norm">
                <dgm:shape xmlns:r="http://schemas.openxmlformats.org/officeDocument/2006/relationships" type="pieWedge" r:blip="">
                  <dgm:adjLst/>
                </dgm:shape>
              </dgm:if>
              <dgm:else name="Name34">
                <dgm:shape xmlns:r="http://schemas.openxmlformats.org/officeDocument/2006/relationships" rot="90" type="pieWedge" r:blip="">
                  <dgm:adjLst/>
                </dgm:shape>
              </dgm:else>
            </dgm:choose>
            <dgm:presOf axis="ch" ptType="node" cnt="1"/>
            <dgm:constrLst/>
            <dgm:ruleLst>
              <dgm:rule type="primFontSz" val="5" fact="NaN" max="NaN"/>
            </dgm:ruleLst>
          </dgm:layoutNode>
          <dgm:layoutNode name="quadrant2" styleLbl="node1">
            <dgm:varLst>
              <dgm:chMax val="1"/>
              <dgm:bulletEnabled val="1"/>
            </dgm:varLst>
            <dgm:alg type="tx"/>
            <dgm:choose name="Name35">
              <dgm:if name="Name36" func="var" arg="dir" op="equ" val="norm">
                <dgm:shape xmlns:r="http://schemas.openxmlformats.org/officeDocument/2006/relationships" rot="90" type="pieWedge" r:blip="">
                  <dgm:adjLst/>
                </dgm:shape>
              </dgm:if>
              <dgm:else name="Name37">
                <dgm:shape xmlns:r="http://schemas.openxmlformats.org/officeDocument/2006/relationships" type="pieWedge" r:blip="">
                  <dgm:adjLst/>
                </dgm:shape>
              </dgm:else>
            </dgm:choose>
            <dgm:presOf axis="ch" ptType="node" st="2" cnt="1"/>
            <dgm:constrLst/>
            <dgm:ruleLst>
              <dgm:rule type="primFontSz" val="5" fact="NaN" max="NaN"/>
            </dgm:ruleLst>
          </dgm:layoutNode>
          <dgm:layoutNode name="quadrant3" styleLbl="node1">
            <dgm:varLst>
              <dgm:chMax val="1"/>
              <dgm:bulletEnabled val="1"/>
            </dgm:varLst>
            <dgm:alg type="tx"/>
            <dgm:choose name="Name38">
              <dgm:if name="Name39" func="var" arg="dir" op="equ" val="norm">
                <dgm:shape xmlns:r="http://schemas.openxmlformats.org/officeDocument/2006/relationships" rot="180" type="pieWedge" r:blip="">
                  <dgm:adjLst/>
                </dgm:shape>
              </dgm:if>
              <dgm:else name="Name40">
                <dgm:shape xmlns:r="http://schemas.openxmlformats.org/officeDocument/2006/relationships" rot="270" type="pieWedge" r:blip="">
                  <dgm:adjLst/>
                </dgm:shape>
              </dgm:else>
            </dgm:choose>
            <dgm:presOf axis="ch" ptType="node" st="3" cnt="1"/>
            <dgm:constrLst/>
            <dgm:ruleLst>
              <dgm:rule type="primFontSz" val="5" fact="NaN" max="NaN"/>
            </dgm:ruleLst>
          </dgm:layoutNode>
          <dgm:layoutNode name="quadrant4" styleLbl="node1">
            <dgm:varLst>
              <dgm:chMax val="1"/>
              <dgm:bulletEnabled val="1"/>
            </dgm:varLst>
            <dgm:alg type="tx"/>
            <dgm:choose name="Name41">
              <dgm:if name="Name42" func="var" arg="dir" op="equ" val="norm">
                <dgm:shape xmlns:r="http://schemas.openxmlformats.org/officeDocument/2006/relationships" rot="270" type="pieWedge" r:blip="">
                  <dgm:adjLst/>
                </dgm:shape>
              </dgm:if>
              <dgm:else name="Name43">
                <dgm:shape xmlns:r="http://schemas.openxmlformats.org/officeDocument/2006/relationships" rot="180" type="pieWedge" r:blip="">
                  <dgm:adjLst/>
                </dgm:shape>
              </dgm:else>
            </dgm:choose>
            <dgm:presOf axis="ch" ptType="node" st="4" cnt="1"/>
            <dgm:constrLst/>
            <dgm:ruleLst>
              <dgm:rule type="primFontSz" val="5" fact="NaN" max="NaN"/>
            </dgm:ruleLst>
          </dgm:layoutNode>
          <dgm:layoutNode name="quadrantPlaceholder">
            <dgm:alg type="sp"/>
            <dgm:shape xmlns:r="http://schemas.openxmlformats.org/officeDocument/2006/relationships" r:blip="">
              <dgm:adjLst/>
            </dgm:shape>
            <dgm:presOf/>
            <dgm:constrLst/>
            <dgm:ruleLst/>
          </dgm:layoutNode>
        </dgm:layoutNode>
        <dgm:layoutNode name="center1" styleLbl="fgShp">
          <dgm:alg type="sp"/>
          <dgm:choose name="Name44">
            <dgm:if name="Name45" func="var" arg="dir" op="equ" val="norm">
              <dgm:shape xmlns:r="http://schemas.openxmlformats.org/officeDocument/2006/relationships" type="circularArrow" r:blip="" zOrderOff="16">
                <dgm:adjLst/>
              </dgm:shape>
            </dgm:if>
            <dgm:else name="Name46">
              <dgm:shape xmlns:r="http://schemas.openxmlformats.org/officeDocument/2006/relationships" rot="180" type="leftCircularArrow" r:blip="" zOrderOff="16">
                <dgm:adjLst/>
              </dgm:shape>
            </dgm:else>
          </dgm:choose>
          <dgm:presOf/>
          <dgm:constrLst/>
          <dgm:ruleLst/>
        </dgm:layoutNode>
        <dgm:layoutNode name="center2" styleLbl="fgShp">
          <dgm:alg type="sp"/>
          <dgm:choose name="Name47">
            <dgm:if name="Name48" func="var" arg="dir" op="equ" val="norm">
              <dgm:shape xmlns:r="http://schemas.openxmlformats.org/officeDocument/2006/relationships" rot="180" type="circularArrow" r:blip="" zOrderOff="16">
                <dgm:adjLst/>
              </dgm:shape>
            </dgm:if>
            <dgm:else name="Name49">
              <dgm:shape xmlns:r="http://schemas.openxmlformats.org/officeDocument/2006/relationships" type="leftCircularArrow" r:blip="" zOrderOff="16">
                <dgm:adjLst/>
              </dgm:shape>
            </dgm:else>
          </dgm:choose>
          <dgm:presOf/>
          <dgm:constrLst/>
          <dgm:ruleLst/>
        </dgm:layoutNode>
      </dgm:if>
      <dgm:else name="Name50"/>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1.png"/><Relationship Id="rId1" Type="http://schemas.openxmlformats.org/officeDocument/2006/relationships/hyperlink" Target="#'Metrics for Leaders'!A1"/><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43100" cy="1447800"/>
    <xdr:pic>
      <xdr:nvPicPr>
        <xdr:cNvPr id="2" name="image1.png" title="Image">
          <a:extLst>
            <a:ext uri="{FF2B5EF4-FFF2-40B4-BE49-F238E27FC236}">
              <a16:creationId xmlns:a16="http://schemas.microsoft.com/office/drawing/2014/main" id="{312A5EE9-0821-4AE5-8228-33F423EA78DE}"/>
            </a:ext>
          </a:extLst>
        </xdr:cNvPr>
        <xdr:cNvPicPr preferRelativeResize="0"/>
      </xdr:nvPicPr>
      <xdr:blipFill>
        <a:blip xmlns:r="http://schemas.openxmlformats.org/officeDocument/2006/relationships" r:embed="rId1" cstate="print"/>
        <a:stretch>
          <a:fillRect/>
        </a:stretch>
      </xdr:blipFill>
      <xdr:spPr>
        <a:xfrm>
          <a:off x="0" y="0"/>
          <a:ext cx="1943100" cy="1447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76200</xdr:rowOff>
    </xdr:from>
    <xdr:ext cx="1685925" cy="1209675"/>
    <xdr:pic>
      <xdr:nvPicPr>
        <xdr:cNvPr id="2" name="image1.png" title="Image">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xdr:from>
      <xdr:col>0</xdr:col>
      <xdr:colOff>652793</xdr:colOff>
      <xdr:row>21</xdr:row>
      <xdr:rowOff>93345</xdr:rowOff>
    </xdr:from>
    <xdr:to>
      <xdr:col>8</xdr:col>
      <xdr:colOff>556882</xdr:colOff>
      <xdr:row>39</xdr:row>
      <xdr:rowOff>192405</xdr:rowOff>
    </xdr:to>
    <xdr:graphicFrame macro="">
      <xdr:nvGraphicFramePr>
        <xdr:cNvPr id="10" name="Diagram 9">
          <a:extLst>
            <a:ext uri="{FF2B5EF4-FFF2-40B4-BE49-F238E27FC236}">
              <a16:creationId xmlns:a16="http://schemas.microsoft.com/office/drawing/2014/main" id="{C35D9C1F-0BE2-45D4-A7CE-8B7B709C19C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85725</xdr:rowOff>
    </xdr:from>
    <xdr:ext cx="1685925" cy="12096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1685925" cy="1209675"/>
    <xdr:pic>
      <xdr:nvPicPr>
        <xdr:cNvPr id="2" name="image1.png" title="Image">
          <a:extLst>
            <a:ext uri="{FF2B5EF4-FFF2-40B4-BE49-F238E27FC236}">
              <a16:creationId xmlns:a16="http://schemas.microsoft.com/office/drawing/2014/main" id="{B194E4F6-065D-406D-8A99-1E9447546CAA}"/>
            </a:ext>
          </a:extLst>
        </xdr:cNvPr>
        <xdr:cNvPicPr preferRelativeResize="0"/>
      </xdr:nvPicPr>
      <xdr:blipFill>
        <a:blip xmlns:r="http://schemas.openxmlformats.org/officeDocument/2006/relationships" r:embed="rId1" cstate="print"/>
        <a:stretch>
          <a:fillRect/>
        </a:stretch>
      </xdr:blipFill>
      <xdr:spPr>
        <a:xfrm>
          <a:off x="0" y="171450"/>
          <a:ext cx="1685925" cy="12096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200025</xdr:rowOff>
    </xdr:from>
    <xdr:ext cx="1685925" cy="12096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15240</xdr:colOff>
      <xdr:row>0</xdr:row>
      <xdr:rowOff>36195</xdr:rowOff>
    </xdr:from>
    <xdr:ext cx="1685925" cy="1209675"/>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5240" y="36195"/>
          <a:ext cx="1685925" cy="12096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200025</xdr:rowOff>
    </xdr:from>
    <xdr:ext cx="1685925" cy="1209675"/>
    <xdr:pic>
      <xdr:nvPicPr>
        <xdr:cNvPr id="2" name="image1.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200025</xdr:rowOff>
    </xdr:from>
    <xdr:ext cx="1685925" cy="1209675"/>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76200</xdr:colOff>
      <xdr:row>0</xdr:row>
      <xdr:rowOff>85725</xdr:rowOff>
    </xdr:from>
    <xdr:ext cx="1685925" cy="1209675"/>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853440</xdr:colOff>
      <xdr:row>27</xdr:row>
      <xdr:rowOff>19050</xdr:rowOff>
    </xdr:from>
    <xdr:to>
      <xdr:col>9</xdr:col>
      <xdr:colOff>217170</xdr:colOff>
      <xdr:row>62</xdr:row>
      <xdr:rowOff>78105</xdr:rowOff>
    </xdr:to>
    <xdr:grpSp>
      <xdr:nvGrpSpPr>
        <xdr:cNvPr id="115" name="Group 114">
          <a:extLst>
            <a:ext uri="{FF2B5EF4-FFF2-40B4-BE49-F238E27FC236}">
              <a16:creationId xmlns:a16="http://schemas.microsoft.com/office/drawing/2014/main" id="{3A1D6F38-C7FD-A363-44D3-59519A505916}"/>
            </a:ext>
          </a:extLst>
        </xdr:cNvPr>
        <xdr:cNvGrpSpPr/>
      </xdr:nvGrpSpPr>
      <xdr:grpSpPr>
        <a:xfrm>
          <a:off x="857250" y="5415915"/>
          <a:ext cx="9530715" cy="7063740"/>
          <a:chOff x="10298430" y="3291840"/>
          <a:chExt cx="7953375" cy="7063740"/>
        </a:xfrm>
      </xdr:grpSpPr>
      <xdr:sp macro="" textlink="">
        <xdr:nvSpPr>
          <xdr:cNvPr id="5" name="TextBox 4">
            <a:extLst>
              <a:ext uri="{FF2B5EF4-FFF2-40B4-BE49-F238E27FC236}">
                <a16:creationId xmlns:a16="http://schemas.microsoft.com/office/drawing/2014/main" id="{5235A1C1-9AEA-D62E-565F-7D9D9318B3AB}"/>
              </a:ext>
            </a:extLst>
          </xdr:cNvPr>
          <xdr:cNvSpPr txBox="1"/>
        </xdr:nvSpPr>
        <xdr:spPr>
          <a:xfrm>
            <a:off x="10298430" y="3688080"/>
            <a:ext cx="975360" cy="9144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Average revenue per customer</a:t>
            </a:r>
          </a:p>
        </xdr:txBody>
      </xdr:sp>
      <xdr:sp macro="" textlink="">
        <xdr:nvSpPr>
          <xdr:cNvPr id="7" name="TextBox 6">
            <a:extLst>
              <a:ext uri="{FF2B5EF4-FFF2-40B4-BE49-F238E27FC236}">
                <a16:creationId xmlns:a16="http://schemas.microsoft.com/office/drawing/2014/main" id="{DDCA7F8C-2364-47F9-9C27-F6C2F29F767D}"/>
              </a:ext>
            </a:extLst>
          </xdr:cNvPr>
          <xdr:cNvSpPr txBox="1"/>
        </xdr:nvSpPr>
        <xdr:spPr>
          <a:xfrm>
            <a:off x="10323195" y="5015865"/>
            <a:ext cx="982980" cy="92011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Variable cost per customer</a:t>
            </a:r>
          </a:p>
        </xdr:txBody>
      </xdr:sp>
      <xdr:sp macro="" textlink="">
        <xdr:nvSpPr>
          <xdr:cNvPr id="8" name="TextBox 7">
            <a:extLst>
              <a:ext uri="{FF2B5EF4-FFF2-40B4-BE49-F238E27FC236}">
                <a16:creationId xmlns:a16="http://schemas.microsoft.com/office/drawing/2014/main" id="{2E1B7BF6-5F7E-4E21-B25B-EA49327CFEA6}"/>
              </a:ext>
            </a:extLst>
          </xdr:cNvPr>
          <xdr:cNvSpPr txBox="1"/>
        </xdr:nvSpPr>
        <xdr:spPr>
          <a:xfrm>
            <a:off x="12035790" y="4097655"/>
            <a:ext cx="982980" cy="92011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Variable contribution  per existing customer</a:t>
            </a:r>
          </a:p>
        </xdr:txBody>
      </xdr:sp>
      <xdr:sp macro="" textlink="">
        <xdr:nvSpPr>
          <xdr:cNvPr id="9" name="TextBox 8">
            <a:extLst>
              <a:ext uri="{FF2B5EF4-FFF2-40B4-BE49-F238E27FC236}">
                <a16:creationId xmlns:a16="http://schemas.microsoft.com/office/drawing/2014/main" id="{45060C7A-5156-4FBE-954D-949BDC50A516}"/>
              </a:ext>
            </a:extLst>
          </xdr:cNvPr>
          <xdr:cNvSpPr txBox="1"/>
        </xdr:nvSpPr>
        <xdr:spPr>
          <a:xfrm>
            <a:off x="12049125" y="5400675"/>
            <a:ext cx="981075" cy="93345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Expected customer lifetime </a:t>
            </a:r>
          </a:p>
        </xdr:txBody>
      </xdr:sp>
      <xdr:sp macro="" textlink="">
        <xdr:nvSpPr>
          <xdr:cNvPr id="10" name="TextBox 9">
            <a:extLst>
              <a:ext uri="{FF2B5EF4-FFF2-40B4-BE49-F238E27FC236}">
                <a16:creationId xmlns:a16="http://schemas.microsoft.com/office/drawing/2014/main" id="{E7E52531-9E51-478D-8B8F-AC574CAC9FC8}"/>
              </a:ext>
            </a:extLst>
          </xdr:cNvPr>
          <xdr:cNvSpPr txBox="1"/>
        </xdr:nvSpPr>
        <xdr:spPr>
          <a:xfrm>
            <a:off x="13782675" y="4714875"/>
            <a:ext cx="977265" cy="93345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Value per existing customer</a:t>
            </a:r>
          </a:p>
        </xdr:txBody>
      </xdr:sp>
      <xdr:sp macro="" textlink="">
        <xdr:nvSpPr>
          <xdr:cNvPr id="13" name="TextBox 12">
            <a:extLst>
              <a:ext uri="{FF2B5EF4-FFF2-40B4-BE49-F238E27FC236}">
                <a16:creationId xmlns:a16="http://schemas.microsoft.com/office/drawing/2014/main" id="{671688A4-D725-4059-B5AC-FC9DA235161E}"/>
              </a:ext>
            </a:extLst>
          </xdr:cNvPr>
          <xdr:cNvSpPr txBox="1"/>
        </xdr:nvSpPr>
        <xdr:spPr>
          <a:xfrm>
            <a:off x="13769340" y="3352800"/>
            <a:ext cx="977265" cy="93345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Number of existing customers</a:t>
            </a:r>
          </a:p>
        </xdr:txBody>
      </xdr:sp>
      <xdr:sp macro="" textlink="">
        <xdr:nvSpPr>
          <xdr:cNvPr id="15" name="TextBox 14">
            <a:extLst>
              <a:ext uri="{FF2B5EF4-FFF2-40B4-BE49-F238E27FC236}">
                <a16:creationId xmlns:a16="http://schemas.microsoft.com/office/drawing/2014/main" id="{F9F249A4-CB27-481F-BBD3-F8415C6460A2}"/>
              </a:ext>
            </a:extLst>
          </xdr:cNvPr>
          <xdr:cNvSpPr txBox="1"/>
        </xdr:nvSpPr>
        <xdr:spPr>
          <a:xfrm>
            <a:off x="15516225" y="4011930"/>
            <a:ext cx="963930" cy="92773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Present value of existing customers</a:t>
            </a:r>
          </a:p>
        </xdr:txBody>
      </xdr:sp>
      <xdr:sp macro="" textlink="">
        <xdr:nvSpPr>
          <xdr:cNvPr id="17" name="TextBox 16">
            <a:extLst>
              <a:ext uri="{FF2B5EF4-FFF2-40B4-BE49-F238E27FC236}">
                <a16:creationId xmlns:a16="http://schemas.microsoft.com/office/drawing/2014/main" id="{873801D2-3018-46E8-8989-63E3761AC50A}"/>
              </a:ext>
            </a:extLst>
          </xdr:cNvPr>
          <xdr:cNvSpPr txBox="1"/>
        </xdr:nvSpPr>
        <xdr:spPr>
          <a:xfrm>
            <a:off x="17287875" y="5972175"/>
            <a:ext cx="963930" cy="92011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Customer base Value</a:t>
            </a:r>
          </a:p>
        </xdr:txBody>
      </xdr:sp>
      <xdr:sp macro="" textlink="">
        <xdr:nvSpPr>
          <xdr:cNvPr id="20" name="TextBox 19">
            <a:extLst>
              <a:ext uri="{FF2B5EF4-FFF2-40B4-BE49-F238E27FC236}">
                <a16:creationId xmlns:a16="http://schemas.microsoft.com/office/drawing/2014/main" id="{20F484B2-071C-4F25-8AAD-2D8D2106DDF0}"/>
              </a:ext>
            </a:extLst>
          </xdr:cNvPr>
          <xdr:cNvSpPr txBox="1"/>
        </xdr:nvSpPr>
        <xdr:spPr>
          <a:xfrm>
            <a:off x="10315575" y="6692265"/>
            <a:ext cx="971550" cy="91630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Average revenue per new customer</a:t>
            </a:r>
          </a:p>
        </xdr:txBody>
      </xdr:sp>
      <xdr:sp macro="" textlink="">
        <xdr:nvSpPr>
          <xdr:cNvPr id="22" name="TextBox 21">
            <a:extLst>
              <a:ext uri="{FF2B5EF4-FFF2-40B4-BE49-F238E27FC236}">
                <a16:creationId xmlns:a16="http://schemas.microsoft.com/office/drawing/2014/main" id="{C3355406-7825-4C36-AC40-8D754B70E60C}"/>
              </a:ext>
            </a:extLst>
          </xdr:cNvPr>
          <xdr:cNvSpPr txBox="1"/>
        </xdr:nvSpPr>
        <xdr:spPr>
          <a:xfrm>
            <a:off x="10315575" y="8001000"/>
            <a:ext cx="982980" cy="91249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Variable cost per new customer</a:t>
            </a:r>
          </a:p>
        </xdr:txBody>
      </xdr:sp>
      <xdr:sp macro="" textlink="">
        <xdr:nvSpPr>
          <xdr:cNvPr id="23" name="TextBox 22">
            <a:extLst>
              <a:ext uri="{FF2B5EF4-FFF2-40B4-BE49-F238E27FC236}">
                <a16:creationId xmlns:a16="http://schemas.microsoft.com/office/drawing/2014/main" id="{BF752255-F741-49C9-AAE5-A279B818272F}"/>
              </a:ext>
            </a:extLst>
          </xdr:cNvPr>
          <xdr:cNvSpPr txBox="1"/>
        </xdr:nvSpPr>
        <xdr:spPr>
          <a:xfrm>
            <a:off x="12049125" y="7400925"/>
            <a:ext cx="977265" cy="93154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Variable contribution  per new customer</a:t>
            </a:r>
          </a:p>
        </xdr:txBody>
      </xdr:sp>
      <xdr:sp macro="" textlink="">
        <xdr:nvSpPr>
          <xdr:cNvPr id="24" name="TextBox 23">
            <a:extLst>
              <a:ext uri="{FF2B5EF4-FFF2-40B4-BE49-F238E27FC236}">
                <a16:creationId xmlns:a16="http://schemas.microsoft.com/office/drawing/2014/main" id="{1E311F2D-CA79-4D6D-B437-2DA8C3E7E373}"/>
              </a:ext>
            </a:extLst>
          </xdr:cNvPr>
          <xdr:cNvSpPr txBox="1"/>
        </xdr:nvSpPr>
        <xdr:spPr>
          <a:xfrm>
            <a:off x="12049125" y="8801100"/>
            <a:ext cx="981075" cy="93345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Expected new customer lifetime </a:t>
            </a:r>
          </a:p>
        </xdr:txBody>
      </xdr:sp>
      <xdr:sp macro="" textlink="">
        <xdr:nvSpPr>
          <xdr:cNvPr id="25" name="TextBox 24">
            <a:extLst>
              <a:ext uri="{FF2B5EF4-FFF2-40B4-BE49-F238E27FC236}">
                <a16:creationId xmlns:a16="http://schemas.microsoft.com/office/drawing/2014/main" id="{0BD087AA-084C-4E90-9D76-0067B57539D0}"/>
              </a:ext>
            </a:extLst>
          </xdr:cNvPr>
          <xdr:cNvSpPr txBox="1"/>
        </xdr:nvSpPr>
        <xdr:spPr>
          <a:xfrm>
            <a:off x="13782675" y="6600825"/>
            <a:ext cx="960120" cy="93535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Number of new customers acquired</a:t>
            </a:r>
          </a:p>
        </xdr:txBody>
      </xdr:sp>
      <xdr:sp macro="" textlink="">
        <xdr:nvSpPr>
          <xdr:cNvPr id="28" name="TextBox 27">
            <a:extLst>
              <a:ext uri="{FF2B5EF4-FFF2-40B4-BE49-F238E27FC236}">
                <a16:creationId xmlns:a16="http://schemas.microsoft.com/office/drawing/2014/main" id="{99487685-1E9E-49AE-8A71-C7872E7A9E14}"/>
              </a:ext>
            </a:extLst>
          </xdr:cNvPr>
          <xdr:cNvSpPr txBox="1"/>
        </xdr:nvSpPr>
        <xdr:spPr>
          <a:xfrm>
            <a:off x="13782675" y="8001000"/>
            <a:ext cx="967740" cy="93154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Value per existing customer</a:t>
            </a:r>
          </a:p>
        </xdr:txBody>
      </xdr:sp>
      <xdr:sp macro="" textlink="">
        <xdr:nvSpPr>
          <xdr:cNvPr id="30" name="TextBox 29">
            <a:extLst>
              <a:ext uri="{FF2B5EF4-FFF2-40B4-BE49-F238E27FC236}">
                <a16:creationId xmlns:a16="http://schemas.microsoft.com/office/drawing/2014/main" id="{6F539F2C-D2FA-4CDC-84C5-00793C919860}"/>
              </a:ext>
            </a:extLst>
          </xdr:cNvPr>
          <xdr:cNvSpPr txBox="1"/>
        </xdr:nvSpPr>
        <xdr:spPr>
          <a:xfrm>
            <a:off x="13769340" y="9330690"/>
            <a:ext cx="965835" cy="93345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Customer acquisition cost</a:t>
            </a:r>
          </a:p>
        </xdr:txBody>
      </xdr:sp>
      <xdr:sp macro="" textlink="">
        <xdr:nvSpPr>
          <xdr:cNvPr id="31" name="TextBox 30">
            <a:extLst>
              <a:ext uri="{FF2B5EF4-FFF2-40B4-BE49-F238E27FC236}">
                <a16:creationId xmlns:a16="http://schemas.microsoft.com/office/drawing/2014/main" id="{DA4463EB-F391-4529-B81E-B697EB18B86D}"/>
              </a:ext>
            </a:extLst>
          </xdr:cNvPr>
          <xdr:cNvSpPr txBox="1"/>
        </xdr:nvSpPr>
        <xdr:spPr>
          <a:xfrm>
            <a:off x="15516225" y="8001000"/>
            <a:ext cx="963930" cy="92202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2"/>
                </a:solidFill>
              </a:rPr>
              <a:t>Present value of new customers</a:t>
            </a:r>
          </a:p>
        </xdr:txBody>
      </xdr:sp>
      <xdr:sp macro="" textlink="">
        <xdr:nvSpPr>
          <xdr:cNvPr id="32" name="Minus Sign 31">
            <a:extLst>
              <a:ext uri="{FF2B5EF4-FFF2-40B4-BE49-F238E27FC236}">
                <a16:creationId xmlns:a16="http://schemas.microsoft.com/office/drawing/2014/main" id="{060BCB17-92AC-9888-5EB3-2C1AD014A800}"/>
              </a:ext>
            </a:extLst>
          </xdr:cNvPr>
          <xdr:cNvSpPr/>
        </xdr:nvSpPr>
        <xdr:spPr>
          <a:xfrm>
            <a:off x="10692765" y="4712970"/>
            <a:ext cx="222885" cy="180975"/>
          </a:xfrm>
          <a:prstGeom prst="mathMinus">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Minus Sign 35">
            <a:extLst>
              <a:ext uri="{FF2B5EF4-FFF2-40B4-BE49-F238E27FC236}">
                <a16:creationId xmlns:a16="http://schemas.microsoft.com/office/drawing/2014/main" id="{C998A9BF-E438-4B44-8428-B50708FFC61D}"/>
              </a:ext>
            </a:extLst>
          </xdr:cNvPr>
          <xdr:cNvSpPr/>
        </xdr:nvSpPr>
        <xdr:spPr>
          <a:xfrm>
            <a:off x="10696575" y="7715250"/>
            <a:ext cx="217170" cy="179070"/>
          </a:xfrm>
          <a:prstGeom prst="mathMinus">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Minus Sign 36">
            <a:extLst>
              <a:ext uri="{FF2B5EF4-FFF2-40B4-BE49-F238E27FC236}">
                <a16:creationId xmlns:a16="http://schemas.microsoft.com/office/drawing/2014/main" id="{49F2E9EA-6363-4047-AA0D-C207777AD117}"/>
              </a:ext>
            </a:extLst>
          </xdr:cNvPr>
          <xdr:cNvSpPr/>
        </xdr:nvSpPr>
        <xdr:spPr>
          <a:xfrm>
            <a:off x="14146530" y="9018270"/>
            <a:ext cx="224790" cy="184785"/>
          </a:xfrm>
          <a:prstGeom prst="mathMinus">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Multiplication Sign 37">
            <a:extLst>
              <a:ext uri="{FF2B5EF4-FFF2-40B4-BE49-F238E27FC236}">
                <a16:creationId xmlns:a16="http://schemas.microsoft.com/office/drawing/2014/main" id="{99B86E5D-09B7-E559-9FEA-534CA77E47E2}"/>
              </a:ext>
            </a:extLst>
          </xdr:cNvPr>
          <xdr:cNvSpPr/>
        </xdr:nvSpPr>
        <xdr:spPr>
          <a:xfrm>
            <a:off x="12403455" y="5046345"/>
            <a:ext cx="300990" cy="257175"/>
          </a:xfrm>
          <a:prstGeom prst="mathMultiply">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Multiplication Sign 39">
            <a:extLst>
              <a:ext uri="{FF2B5EF4-FFF2-40B4-BE49-F238E27FC236}">
                <a16:creationId xmlns:a16="http://schemas.microsoft.com/office/drawing/2014/main" id="{002FADA1-F567-4CC6-9F23-EEB7A6163EFB}"/>
              </a:ext>
            </a:extLst>
          </xdr:cNvPr>
          <xdr:cNvSpPr/>
        </xdr:nvSpPr>
        <xdr:spPr>
          <a:xfrm>
            <a:off x="14114145" y="4391025"/>
            <a:ext cx="295275" cy="259080"/>
          </a:xfrm>
          <a:prstGeom prst="mathMultiply">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Multiplication Sign 40">
            <a:extLst>
              <a:ext uri="{FF2B5EF4-FFF2-40B4-BE49-F238E27FC236}">
                <a16:creationId xmlns:a16="http://schemas.microsoft.com/office/drawing/2014/main" id="{25FEDA23-EE6A-4A50-8FC0-4BADAB06CE1E}"/>
              </a:ext>
            </a:extLst>
          </xdr:cNvPr>
          <xdr:cNvSpPr/>
        </xdr:nvSpPr>
        <xdr:spPr>
          <a:xfrm>
            <a:off x="12369165" y="8412480"/>
            <a:ext cx="304800" cy="253365"/>
          </a:xfrm>
          <a:prstGeom prst="mathMultiply">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Multiplication Sign 41">
            <a:extLst>
              <a:ext uri="{FF2B5EF4-FFF2-40B4-BE49-F238E27FC236}">
                <a16:creationId xmlns:a16="http://schemas.microsoft.com/office/drawing/2014/main" id="{DC70365F-A1AA-4657-8D82-3B2F52AE4A0C}"/>
              </a:ext>
            </a:extLst>
          </xdr:cNvPr>
          <xdr:cNvSpPr/>
        </xdr:nvSpPr>
        <xdr:spPr>
          <a:xfrm>
            <a:off x="14125575" y="7600950"/>
            <a:ext cx="295275" cy="253365"/>
          </a:xfrm>
          <a:prstGeom prst="mathMultiply">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Plus Sign 42">
            <a:extLst>
              <a:ext uri="{FF2B5EF4-FFF2-40B4-BE49-F238E27FC236}">
                <a16:creationId xmlns:a16="http://schemas.microsoft.com/office/drawing/2014/main" id="{B6212D30-6921-A344-EA05-D2F9F7326191}"/>
              </a:ext>
            </a:extLst>
          </xdr:cNvPr>
          <xdr:cNvSpPr/>
        </xdr:nvSpPr>
        <xdr:spPr>
          <a:xfrm>
            <a:off x="15803880" y="6391275"/>
            <a:ext cx="291465" cy="259080"/>
          </a:xfrm>
          <a:prstGeom prst="mathPlus">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Connector 44">
            <a:extLst>
              <a:ext uri="{FF2B5EF4-FFF2-40B4-BE49-F238E27FC236}">
                <a16:creationId xmlns:a16="http://schemas.microsoft.com/office/drawing/2014/main" id="{1881F205-3A58-06CE-5D06-3E5C45AF282C}"/>
              </a:ext>
            </a:extLst>
          </xdr:cNvPr>
          <xdr:cNvCxnSpPr/>
        </xdr:nvCxnSpPr>
        <xdr:spPr>
          <a:xfrm>
            <a:off x="11666220" y="3615690"/>
            <a:ext cx="0" cy="241173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7" name="Straight Connector 46">
            <a:extLst>
              <a:ext uri="{FF2B5EF4-FFF2-40B4-BE49-F238E27FC236}">
                <a16:creationId xmlns:a16="http://schemas.microsoft.com/office/drawing/2014/main" id="{FE5B747E-77D1-4DDF-96E2-F1CAC71E0591}"/>
              </a:ext>
            </a:extLst>
          </xdr:cNvPr>
          <xdr:cNvCxnSpPr/>
        </xdr:nvCxnSpPr>
        <xdr:spPr>
          <a:xfrm>
            <a:off x="11650980" y="6579870"/>
            <a:ext cx="0" cy="240982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9" name="Straight Connector 48">
            <a:extLst>
              <a:ext uri="{FF2B5EF4-FFF2-40B4-BE49-F238E27FC236}">
                <a16:creationId xmlns:a16="http://schemas.microsoft.com/office/drawing/2014/main" id="{FF1E298E-F74C-42A7-937D-CEA3B2086BDD}"/>
              </a:ext>
            </a:extLst>
          </xdr:cNvPr>
          <xdr:cNvCxnSpPr/>
        </xdr:nvCxnSpPr>
        <xdr:spPr>
          <a:xfrm>
            <a:off x="13350240" y="4038600"/>
            <a:ext cx="0" cy="240982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0" name="Straight Connector 49">
            <a:extLst>
              <a:ext uri="{FF2B5EF4-FFF2-40B4-BE49-F238E27FC236}">
                <a16:creationId xmlns:a16="http://schemas.microsoft.com/office/drawing/2014/main" id="{3EF3EA50-3A23-4D85-AD02-F10D2A9D1E80}"/>
              </a:ext>
            </a:extLst>
          </xdr:cNvPr>
          <xdr:cNvCxnSpPr/>
        </xdr:nvCxnSpPr>
        <xdr:spPr>
          <a:xfrm>
            <a:off x="13361670" y="7364730"/>
            <a:ext cx="0" cy="240982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1" name="Straight Connector 50">
            <a:extLst>
              <a:ext uri="{FF2B5EF4-FFF2-40B4-BE49-F238E27FC236}">
                <a16:creationId xmlns:a16="http://schemas.microsoft.com/office/drawing/2014/main" id="{B3089789-F8D1-4ED9-88F0-47668BFBF41B}"/>
              </a:ext>
            </a:extLst>
          </xdr:cNvPr>
          <xdr:cNvCxnSpPr/>
        </xdr:nvCxnSpPr>
        <xdr:spPr>
          <a:xfrm>
            <a:off x="15083790" y="3303270"/>
            <a:ext cx="0" cy="240982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3" name="Straight Connector 52">
            <a:extLst>
              <a:ext uri="{FF2B5EF4-FFF2-40B4-BE49-F238E27FC236}">
                <a16:creationId xmlns:a16="http://schemas.microsoft.com/office/drawing/2014/main" id="{A41A7236-6AD4-47AB-8E44-70BAF6B7E952}"/>
              </a:ext>
            </a:extLst>
          </xdr:cNvPr>
          <xdr:cNvCxnSpPr/>
        </xdr:nvCxnSpPr>
        <xdr:spPr>
          <a:xfrm>
            <a:off x="15121890" y="6501765"/>
            <a:ext cx="0" cy="385191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6" name="Straight Connector 55">
            <a:extLst>
              <a:ext uri="{FF2B5EF4-FFF2-40B4-BE49-F238E27FC236}">
                <a16:creationId xmlns:a16="http://schemas.microsoft.com/office/drawing/2014/main" id="{EA0F725D-A5C6-4480-BB05-F85AF312B909}"/>
              </a:ext>
            </a:extLst>
          </xdr:cNvPr>
          <xdr:cNvCxnSpPr/>
        </xdr:nvCxnSpPr>
        <xdr:spPr>
          <a:xfrm>
            <a:off x="16802100" y="3891915"/>
            <a:ext cx="0" cy="520065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0" name="Straight Connector 59">
            <a:extLst>
              <a:ext uri="{FF2B5EF4-FFF2-40B4-BE49-F238E27FC236}">
                <a16:creationId xmlns:a16="http://schemas.microsoft.com/office/drawing/2014/main" id="{2746CB7C-4687-E59D-F359-F72F099D0310}"/>
              </a:ext>
            </a:extLst>
          </xdr:cNvPr>
          <xdr:cNvCxnSpPr/>
        </xdr:nvCxnSpPr>
        <xdr:spPr>
          <a:xfrm flipH="1">
            <a:off x="11370945" y="3615690"/>
            <a:ext cx="304800" cy="381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62" name="Straight Connector 61">
            <a:extLst>
              <a:ext uri="{FF2B5EF4-FFF2-40B4-BE49-F238E27FC236}">
                <a16:creationId xmlns:a16="http://schemas.microsoft.com/office/drawing/2014/main" id="{49D67462-393F-46BD-886D-5A2BCD79CDE4}"/>
              </a:ext>
            </a:extLst>
          </xdr:cNvPr>
          <xdr:cNvCxnSpPr/>
        </xdr:nvCxnSpPr>
        <xdr:spPr>
          <a:xfrm flipH="1">
            <a:off x="11351895" y="6017895"/>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63" name="Straight Connector 62">
            <a:extLst>
              <a:ext uri="{FF2B5EF4-FFF2-40B4-BE49-F238E27FC236}">
                <a16:creationId xmlns:a16="http://schemas.microsoft.com/office/drawing/2014/main" id="{DEB6C5F5-991E-4290-A475-2DFE068D1700}"/>
              </a:ext>
            </a:extLst>
          </xdr:cNvPr>
          <xdr:cNvCxnSpPr/>
        </xdr:nvCxnSpPr>
        <xdr:spPr>
          <a:xfrm flipH="1">
            <a:off x="11355705" y="6574155"/>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64" name="Straight Connector 63">
            <a:extLst>
              <a:ext uri="{FF2B5EF4-FFF2-40B4-BE49-F238E27FC236}">
                <a16:creationId xmlns:a16="http://schemas.microsoft.com/office/drawing/2014/main" id="{03EBAFE9-D36B-4AA7-8BE4-2AE28ACF003A}"/>
              </a:ext>
            </a:extLst>
          </xdr:cNvPr>
          <xdr:cNvCxnSpPr/>
        </xdr:nvCxnSpPr>
        <xdr:spPr>
          <a:xfrm flipH="1">
            <a:off x="11349990" y="9001125"/>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65" name="Straight Connector 64">
            <a:extLst>
              <a:ext uri="{FF2B5EF4-FFF2-40B4-BE49-F238E27FC236}">
                <a16:creationId xmlns:a16="http://schemas.microsoft.com/office/drawing/2014/main" id="{CAA0FD11-A161-4ECC-A15E-5EB778D8A272}"/>
              </a:ext>
            </a:extLst>
          </xdr:cNvPr>
          <xdr:cNvCxnSpPr/>
        </xdr:nvCxnSpPr>
        <xdr:spPr>
          <a:xfrm flipH="1">
            <a:off x="13051155" y="4050030"/>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66" name="Straight Connector 65">
            <a:extLst>
              <a:ext uri="{FF2B5EF4-FFF2-40B4-BE49-F238E27FC236}">
                <a16:creationId xmlns:a16="http://schemas.microsoft.com/office/drawing/2014/main" id="{B5761A2F-5F0D-4D5F-BAAE-23F1459CE972}"/>
              </a:ext>
            </a:extLst>
          </xdr:cNvPr>
          <xdr:cNvCxnSpPr/>
        </xdr:nvCxnSpPr>
        <xdr:spPr>
          <a:xfrm flipH="1">
            <a:off x="13041630" y="6435090"/>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67" name="Straight Connector 66">
            <a:extLst>
              <a:ext uri="{FF2B5EF4-FFF2-40B4-BE49-F238E27FC236}">
                <a16:creationId xmlns:a16="http://schemas.microsoft.com/office/drawing/2014/main" id="{59494B11-A03B-49FE-847C-390996713C26}"/>
              </a:ext>
            </a:extLst>
          </xdr:cNvPr>
          <xdr:cNvCxnSpPr/>
        </xdr:nvCxnSpPr>
        <xdr:spPr>
          <a:xfrm flipH="1">
            <a:off x="13058775" y="7362825"/>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68" name="Straight Connector 67">
            <a:extLst>
              <a:ext uri="{FF2B5EF4-FFF2-40B4-BE49-F238E27FC236}">
                <a16:creationId xmlns:a16="http://schemas.microsoft.com/office/drawing/2014/main" id="{22DB20C6-7DB6-468D-9F4A-FE6F91133E2A}"/>
              </a:ext>
            </a:extLst>
          </xdr:cNvPr>
          <xdr:cNvCxnSpPr/>
        </xdr:nvCxnSpPr>
        <xdr:spPr>
          <a:xfrm flipH="1">
            <a:off x="13056870" y="9780270"/>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70" name="Straight Connector 69">
            <a:extLst>
              <a:ext uri="{FF2B5EF4-FFF2-40B4-BE49-F238E27FC236}">
                <a16:creationId xmlns:a16="http://schemas.microsoft.com/office/drawing/2014/main" id="{A37FD23D-7496-4834-AC0D-91D2031E5E51}"/>
              </a:ext>
            </a:extLst>
          </xdr:cNvPr>
          <xdr:cNvCxnSpPr/>
        </xdr:nvCxnSpPr>
        <xdr:spPr>
          <a:xfrm flipH="1">
            <a:off x="14790420" y="3291840"/>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72" name="Straight Connector 71">
            <a:extLst>
              <a:ext uri="{FF2B5EF4-FFF2-40B4-BE49-F238E27FC236}">
                <a16:creationId xmlns:a16="http://schemas.microsoft.com/office/drawing/2014/main" id="{3D4679DC-58E6-4ED6-887F-0DCB2ABE239F}"/>
              </a:ext>
            </a:extLst>
          </xdr:cNvPr>
          <xdr:cNvCxnSpPr/>
        </xdr:nvCxnSpPr>
        <xdr:spPr>
          <a:xfrm flipH="1">
            <a:off x="14775180" y="5715000"/>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74" name="Straight Connector 73">
            <a:extLst>
              <a:ext uri="{FF2B5EF4-FFF2-40B4-BE49-F238E27FC236}">
                <a16:creationId xmlns:a16="http://schemas.microsoft.com/office/drawing/2014/main" id="{F5F9BA10-9D7E-4EE4-8966-83DDC30D5A80}"/>
              </a:ext>
            </a:extLst>
          </xdr:cNvPr>
          <xdr:cNvCxnSpPr/>
        </xdr:nvCxnSpPr>
        <xdr:spPr>
          <a:xfrm flipH="1">
            <a:off x="14817090" y="6503670"/>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76" name="Straight Connector 75">
            <a:extLst>
              <a:ext uri="{FF2B5EF4-FFF2-40B4-BE49-F238E27FC236}">
                <a16:creationId xmlns:a16="http://schemas.microsoft.com/office/drawing/2014/main" id="{4C371B19-919E-4378-A0B1-303ADC12DD66}"/>
              </a:ext>
            </a:extLst>
          </xdr:cNvPr>
          <xdr:cNvCxnSpPr/>
        </xdr:nvCxnSpPr>
        <xdr:spPr>
          <a:xfrm flipH="1">
            <a:off x="14822805" y="10355580"/>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77" name="Straight Connector 76">
            <a:extLst>
              <a:ext uri="{FF2B5EF4-FFF2-40B4-BE49-F238E27FC236}">
                <a16:creationId xmlns:a16="http://schemas.microsoft.com/office/drawing/2014/main" id="{036438E3-BC19-45E8-9C1F-B03B623B87E3}"/>
              </a:ext>
            </a:extLst>
          </xdr:cNvPr>
          <xdr:cNvCxnSpPr/>
        </xdr:nvCxnSpPr>
        <xdr:spPr>
          <a:xfrm flipH="1">
            <a:off x="16508730" y="3888105"/>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79" name="Straight Connector 78">
            <a:extLst>
              <a:ext uri="{FF2B5EF4-FFF2-40B4-BE49-F238E27FC236}">
                <a16:creationId xmlns:a16="http://schemas.microsoft.com/office/drawing/2014/main" id="{D550E767-B544-4E04-A7DC-C1386B3CF9CB}"/>
              </a:ext>
            </a:extLst>
          </xdr:cNvPr>
          <xdr:cNvCxnSpPr/>
        </xdr:nvCxnSpPr>
        <xdr:spPr>
          <a:xfrm flipH="1">
            <a:off x="16508730" y="9092565"/>
            <a:ext cx="304800" cy="0"/>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81" name="Straight Arrow Connector 80">
            <a:extLst>
              <a:ext uri="{FF2B5EF4-FFF2-40B4-BE49-F238E27FC236}">
                <a16:creationId xmlns:a16="http://schemas.microsoft.com/office/drawing/2014/main" id="{C8062C42-874A-05EA-BDD7-21D3B1BB518A}"/>
              </a:ext>
            </a:extLst>
          </xdr:cNvPr>
          <xdr:cNvCxnSpPr/>
        </xdr:nvCxnSpPr>
        <xdr:spPr>
          <a:xfrm flipV="1">
            <a:off x="11660505" y="4568190"/>
            <a:ext cx="392190" cy="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xnSp macro="">
        <xdr:nvCxnSpPr>
          <xdr:cNvPr id="89" name="Straight Arrow Connector 88">
            <a:extLst>
              <a:ext uri="{FF2B5EF4-FFF2-40B4-BE49-F238E27FC236}">
                <a16:creationId xmlns:a16="http://schemas.microsoft.com/office/drawing/2014/main" id="{657205EE-1193-4096-8C46-3FFA02B2795E}"/>
              </a:ext>
            </a:extLst>
          </xdr:cNvPr>
          <xdr:cNvCxnSpPr/>
        </xdr:nvCxnSpPr>
        <xdr:spPr>
          <a:xfrm flipV="1">
            <a:off x="11650980" y="7800975"/>
            <a:ext cx="396000" cy="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xnSp macro="">
        <xdr:nvCxnSpPr>
          <xdr:cNvPr id="91" name="Straight Arrow Connector 90">
            <a:extLst>
              <a:ext uri="{FF2B5EF4-FFF2-40B4-BE49-F238E27FC236}">
                <a16:creationId xmlns:a16="http://schemas.microsoft.com/office/drawing/2014/main" id="{342C2C72-B73D-452D-9F98-124526407091}"/>
              </a:ext>
            </a:extLst>
          </xdr:cNvPr>
          <xdr:cNvCxnSpPr/>
        </xdr:nvCxnSpPr>
        <xdr:spPr>
          <a:xfrm flipV="1">
            <a:off x="13350240" y="5200650"/>
            <a:ext cx="403620" cy="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xnSp macro="">
        <xdr:nvCxnSpPr>
          <xdr:cNvPr id="92" name="Straight Arrow Connector 91">
            <a:extLst>
              <a:ext uri="{FF2B5EF4-FFF2-40B4-BE49-F238E27FC236}">
                <a16:creationId xmlns:a16="http://schemas.microsoft.com/office/drawing/2014/main" id="{653C1E28-24A9-4D20-888D-1C7857CAB81E}"/>
              </a:ext>
            </a:extLst>
          </xdr:cNvPr>
          <xdr:cNvCxnSpPr/>
        </xdr:nvCxnSpPr>
        <xdr:spPr>
          <a:xfrm flipV="1">
            <a:off x="15106650" y="4579620"/>
            <a:ext cx="403620" cy="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xnSp macro="">
        <xdr:nvCxnSpPr>
          <xdr:cNvPr id="94" name="Straight Arrow Connector 93">
            <a:extLst>
              <a:ext uri="{FF2B5EF4-FFF2-40B4-BE49-F238E27FC236}">
                <a16:creationId xmlns:a16="http://schemas.microsoft.com/office/drawing/2014/main" id="{43635C29-3903-4191-81BA-F52CA8BE0D46}"/>
              </a:ext>
            </a:extLst>
          </xdr:cNvPr>
          <xdr:cNvCxnSpPr/>
        </xdr:nvCxnSpPr>
        <xdr:spPr>
          <a:xfrm flipV="1">
            <a:off x="13384530" y="8526780"/>
            <a:ext cx="396000" cy="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xnSp macro="">
        <xdr:nvCxnSpPr>
          <xdr:cNvPr id="95" name="Straight Arrow Connector 94">
            <a:extLst>
              <a:ext uri="{FF2B5EF4-FFF2-40B4-BE49-F238E27FC236}">
                <a16:creationId xmlns:a16="http://schemas.microsoft.com/office/drawing/2014/main" id="{AD1B7D79-157C-4042-A3C3-63A5DCFFE6DA}"/>
              </a:ext>
            </a:extLst>
          </xdr:cNvPr>
          <xdr:cNvCxnSpPr/>
        </xdr:nvCxnSpPr>
        <xdr:spPr>
          <a:xfrm flipV="1">
            <a:off x="15121890" y="8503920"/>
            <a:ext cx="405525" cy="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xnSp macro="">
        <xdr:nvCxnSpPr>
          <xdr:cNvPr id="96" name="Straight Arrow Connector 95">
            <a:extLst>
              <a:ext uri="{FF2B5EF4-FFF2-40B4-BE49-F238E27FC236}">
                <a16:creationId xmlns:a16="http://schemas.microsoft.com/office/drawing/2014/main" id="{3FB208A4-EE38-46EC-A9BC-19175AA3AB44}"/>
              </a:ext>
            </a:extLst>
          </xdr:cNvPr>
          <xdr:cNvCxnSpPr/>
        </xdr:nvCxnSpPr>
        <xdr:spPr>
          <a:xfrm flipV="1">
            <a:off x="16790670" y="6515100"/>
            <a:ext cx="403620" cy="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520065</xdr:colOff>
      <xdr:row>137</xdr:row>
      <xdr:rowOff>20955</xdr:rowOff>
    </xdr:from>
    <xdr:to>
      <xdr:col>2</xdr:col>
      <xdr:colOff>520065</xdr:colOff>
      <xdr:row>139</xdr:row>
      <xdr:rowOff>9525</xdr:rowOff>
    </xdr:to>
    <xdr:cxnSp macro="">
      <xdr:nvCxnSpPr>
        <xdr:cNvPr id="117" name="Straight Arrow Connector 116">
          <a:extLst>
            <a:ext uri="{FF2B5EF4-FFF2-40B4-BE49-F238E27FC236}">
              <a16:creationId xmlns:a16="http://schemas.microsoft.com/office/drawing/2014/main" id="{1E91BEB0-C872-A973-1745-E87C66881680}"/>
            </a:ext>
          </a:extLst>
        </xdr:cNvPr>
        <xdr:cNvCxnSpPr/>
      </xdr:nvCxnSpPr>
      <xdr:spPr>
        <a:xfrm>
          <a:off x="3415665" y="25624155"/>
          <a:ext cx="0" cy="38862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443865</xdr:colOff>
      <xdr:row>137</xdr:row>
      <xdr:rowOff>26670</xdr:rowOff>
    </xdr:from>
    <xdr:to>
      <xdr:col>4</xdr:col>
      <xdr:colOff>443865</xdr:colOff>
      <xdr:row>139</xdr:row>
      <xdr:rowOff>20955</xdr:rowOff>
    </xdr:to>
    <xdr:cxnSp macro="">
      <xdr:nvCxnSpPr>
        <xdr:cNvPr id="118" name="Straight Arrow Connector 117">
          <a:extLst>
            <a:ext uri="{FF2B5EF4-FFF2-40B4-BE49-F238E27FC236}">
              <a16:creationId xmlns:a16="http://schemas.microsoft.com/office/drawing/2014/main" id="{841AAC64-FB62-4E5C-8037-0934C69B7C9B}"/>
            </a:ext>
          </a:extLst>
        </xdr:cNvPr>
        <xdr:cNvCxnSpPr/>
      </xdr:nvCxnSpPr>
      <xdr:spPr>
        <a:xfrm>
          <a:off x="5273040" y="25629870"/>
          <a:ext cx="0" cy="394335"/>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476250</xdr:colOff>
      <xdr:row>137</xdr:row>
      <xdr:rowOff>24765</xdr:rowOff>
    </xdr:from>
    <xdr:to>
      <xdr:col>6</xdr:col>
      <xdr:colOff>476250</xdr:colOff>
      <xdr:row>139</xdr:row>
      <xdr:rowOff>17145</xdr:rowOff>
    </xdr:to>
    <xdr:cxnSp macro="">
      <xdr:nvCxnSpPr>
        <xdr:cNvPr id="119" name="Straight Arrow Connector 118">
          <a:extLst>
            <a:ext uri="{FF2B5EF4-FFF2-40B4-BE49-F238E27FC236}">
              <a16:creationId xmlns:a16="http://schemas.microsoft.com/office/drawing/2014/main" id="{E0E39E8B-E560-4B29-A714-9A106FB878CB}"/>
            </a:ext>
          </a:extLst>
        </xdr:cNvPr>
        <xdr:cNvCxnSpPr/>
      </xdr:nvCxnSpPr>
      <xdr:spPr>
        <a:xfrm>
          <a:off x="7038975" y="25627965"/>
          <a:ext cx="0" cy="39243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421005</xdr:colOff>
      <xdr:row>140</xdr:row>
      <xdr:rowOff>158115</xdr:rowOff>
    </xdr:from>
    <xdr:to>
      <xdr:col>3</xdr:col>
      <xdr:colOff>421005</xdr:colOff>
      <xdr:row>142</xdr:row>
      <xdr:rowOff>158115</xdr:rowOff>
    </xdr:to>
    <xdr:cxnSp macro="">
      <xdr:nvCxnSpPr>
        <xdr:cNvPr id="120" name="Straight Arrow Connector 119">
          <a:extLst>
            <a:ext uri="{FF2B5EF4-FFF2-40B4-BE49-F238E27FC236}">
              <a16:creationId xmlns:a16="http://schemas.microsoft.com/office/drawing/2014/main" id="{1FF7AC12-0FEE-4848-B24C-446F27E1611E}"/>
            </a:ext>
          </a:extLst>
        </xdr:cNvPr>
        <xdr:cNvCxnSpPr/>
      </xdr:nvCxnSpPr>
      <xdr:spPr>
        <a:xfrm>
          <a:off x="4383405" y="26361390"/>
          <a:ext cx="0" cy="400050"/>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685925" cy="1209675"/>
    <xdr:pic>
      <xdr:nvPicPr>
        <xdr:cNvPr id="3" name="image1.png" title="Image">
          <a:extLst>
            <a:ext uri="{FF2B5EF4-FFF2-40B4-BE49-F238E27FC236}">
              <a16:creationId xmlns:a16="http://schemas.microsoft.com/office/drawing/2014/main" id="{F5736D0E-6B2E-4FCE-B517-915A948D6452}"/>
            </a:ext>
          </a:extLst>
        </xdr:cNvPr>
        <xdr:cNvPicPr preferRelativeResize="0"/>
      </xdr:nvPicPr>
      <xdr:blipFill>
        <a:blip xmlns:r="http://schemas.openxmlformats.org/officeDocument/2006/relationships" r:embed="rId1" cstate="print"/>
        <a:stretch>
          <a:fillRect/>
        </a:stretch>
      </xdr:blipFill>
      <xdr:spPr>
        <a:xfrm>
          <a:off x="0" y="0"/>
          <a:ext cx="1685925" cy="120967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685925" cy="1209675"/>
    <xdr:pic>
      <xdr:nvPicPr>
        <xdr:cNvPr id="5" name="image1.png" title="Image">
          <a:extLst>
            <a:ext uri="{FF2B5EF4-FFF2-40B4-BE49-F238E27FC236}">
              <a16:creationId xmlns:a16="http://schemas.microsoft.com/office/drawing/2014/main" id="{0EDB6444-CEE2-4360-BF8C-B2C8E98900E7}"/>
            </a:ext>
          </a:extLst>
        </xdr:cNvPr>
        <xdr:cNvPicPr preferRelativeResize="0"/>
      </xdr:nvPicPr>
      <xdr:blipFill>
        <a:blip xmlns:r="http://schemas.openxmlformats.org/officeDocument/2006/relationships" r:embed="rId1" cstate="print"/>
        <a:stretch>
          <a:fillRect/>
        </a:stretch>
      </xdr:blipFill>
      <xdr:spPr>
        <a:xfrm>
          <a:off x="0" y="0"/>
          <a:ext cx="1685925" cy="120967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55245</xdr:colOff>
      <xdr:row>0</xdr:row>
      <xdr:rowOff>47625</xdr:rowOff>
    </xdr:from>
    <xdr:ext cx="1685925" cy="1209675"/>
    <xdr:pic>
      <xdr:nvPicPr>
        <xdr:cNvPr id="4" name="image1.png" title="Image">
          <a:extLst>
            <a:ext uri="{FF2B5EF4-FFF2-40B4-BE49-F238E27FC236}">
              <a16:creationId xmlns:a16="http://schemas.microsoft.com/office/drawing/2014/main" id="{1589708A-4329-44E0-B354-DEE13ECB832E}"/>
            </a:ext>
          </a:extLst>
        </xdr:cNvPr>
        <xdr:cNvPicPr preferRelativeResize="0"/>
      </xdr:nvPicPr>
      <xdr:blipFill>
        <a:blip xmlns:r="http://schemas.openxmlformats.org/officeDocument/2006/relationships" r:embed="rId1" cstate="print"/>
        <a:stretch>
          <a:fillRect/>
        </a:stretch>
      </xdr:blipFill>
      <xdr:spPr>
        <a:xfrm>
          <a:off x="55245" y="47625"/>
          <a:ext cx="1685925" cy="12096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oldandsharp.com/contac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boldandsharp.com/en/who-is-your-best-sales-leader/"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boldandsharp.com/selling-to-the-cfo/"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boldandsharp.com/projects-workshops/commercial-negot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6FEE-0401-4467-A9D9-B4F2F79E2D19}">
  <dimension ref="A11:L51"/>
  <sheetViews>
    <sheetView tabSelected="1" workbookViewId="0">
      <selection activeCell="B11" sqref="B11"/>
    </sheetView>
  </sheetViews>
  <sheetFormatPr defaultRowHeight="13.2"/>
  <cols>
    <col min="1" max="16384" width="8.88671875" style="503"/>
  </cols>
  <sheetData>
    <row r="11" spans="1:12">
      <c r="A11" s="506" t="s">
        <v>1002</v>
      </c>
      <c r="B11" s="506"/>
      <c r="C11" s="506"/>
      <c r="D11" s="506"/>
      <c r="E11" s="506"/>
      <c r="F11" s="506"/>
      <c r="G11" s="506"/>
      <c r="H11" s="506"/>
      <c r="I11" s="506"/>
      <c r="J11" s="506"/>
      <c r="K11" s="506"/>
      <c r="L11" s="506"/>
    </row>
    <row r="12" spans="1:12">
      <c r="A12" s="506" t="s">
        <v>999</v>
      </c>
      <c r="B12" s="506"/>
      <c r="C12" s="506"/>
      <c r="D12" s="506"/>
      <c r="E12" s="506"/>
      <c r="F12" s="506"/>
      <c r="G12" s="506"/>
      <c r="H12" s="506"/>
      <c r="I12" s="506"/>
      <c r="J12" s="506"/>
      <c r="K12" s="506"/>
      <c r="L12" s="506"/>
    </row>
    <row r="13" spans="1:12">
      <c r="A13" s="506"/>
      <c r="B13" s="506"/>
      <c r="C13" s="506"/>
      <c r="D13" s="506"/>
      <c r="E13" s="506"/>
      <c r="F13" s="506"/>
      <c r="G13" s="506"/>
      <c r="H13" s="506"/>
      <c r="I13" s="506"/>
      <c r="J13" s="506"/>
      <c r="K13" s="506"/>
      <c r="L13" s="506"/>
    </row>
    <row r="14" spans="1:12">
      <c r="A14" s="506"/>
      <c r="B14" s="506" t="s">
        <v>1000</v>
      </c>
      <c r="C14" s="506"/>
      <c r="D14" s="506"/>
      <c r="E14" s="506"/>
      <c r="F14" s="506"/>
      <c r="G14" s="506"/>
      <c r="H14" s="506"/>
      <c r="I14" s="506"/>
      <c r="J14" s="506"/>
      <c r="K14" s="506"/>
      <c r="L14" s="506"/>
    </row>
    <row r="15" spans="1:12">
      <c r="A15" s="506"/>
      <c r="B15" s="506" t="s">
        <v>1003</v>
      </c>
      <c r="C15" s="506"/>
      <c r="D15" s="506"/>
      <c r="E15" s="506"/>
      <c r="F15" s="506"/>
      <c r="G15" s="506"/>
      <c r="H15" s="506"/>
      <c r="I15" s="506"/>
      <c r="J15" s="506"/>
      <c r="K15" s="506"/>
      <c r="L15" s="506"/>
    </row>
    <row r="16" spans="1:12">
      <c r="A16" s="506"/>
      <c r="B16" s="506" t="s">
        <v>1001</v>
      </c>
      <c r="C16" s="506"/>
      <c r="D16" s="506"/>
      <c r="E16" s="506"/>
      <c r="F16" s="506"/>
      <c r="G16" s="506"/>
      <c r="H16" s="506"/>
      <c r="I16" s="506"/>
      <c r="J16" s="506"/>
      <c r="K16" s="506"/>
      <c r="L16" s="506"/>
    </row>
    <row r="17" spans="1:12">
      <c r="A17" s="506"/>
      <c r="B17" s="506"/>
      <c r="C17" s="506"/>
      <c r="D17" s="506"/>
      <c r="E17" s="506"/>
      <c r="F17" s="506"/>
      <c r="G17" s="506"/>
      <c r="H17" s="506"/>
      <c r="I17" s="506"/>
      <c r="J17" s="506"/>
      <c r="K17" s="506"/>
      <c r="L17" s="506"/>
    </row>
    <row r="18" spans="1:12">
      <c r="A18" s="506" t="s">
        <v>983</v>
      </c>
      <c r="B18" s="506"/>
      <c r="C18" s="506"/>
      <c r="D18" s="506"/>
      <c r="E18" s="506"/>
      <c r="F18" s="506"/>
      <c r="G18" s="506"/>
      <c r="H18" s="506"/>
      <c r="I18" s="506"/>
      <c r="J18" s="506"/>
      <c r="K18" s="506"/>
      <c r="L18" s="506"/>
    </row>
    <row r="19" spans="1:12">
      <c r="A19" s="506"/>
      <c r="B19" s="506"/>
      <c r="C19" s="506"/>
      <c r="D19" s="506"/>
      <c r="E19" s="506"/>
      <c r="F19" s="506"/>
      <c r="G19" s="506"/>
      <c r="H19" s="506"/>
      <c r="I19" s="506"/>
      <c r="J19" s="506"/>
      <c r="K19" s="506"/>
      <c r="L19" s="506"/>
    </row>
    <row r="20" spans="1:12">
      <c r="A20" s="506"/>
      <c r="B20" s="506"/>
      <c r="C20" s="506"/>
      <c r="D20" s="506"/>
      <c r="E20" s="506"/>
      <c r="F20" s="506"/>
      <c r="G20" s="506"/>
      <c r="H20" s="506"/>
      <c r="I20" s="506"/>
      <c r="J20" s="506"/>
      <c r="K20" s="506"/>
      <c r="L20" s="506"/>
    </row>
    <row r="21" spans="1:12">
      <c r="A21" s="506">
        <v>1</v>
      </c>
      <c r="B21" s="507" t="s">
        <v>997</v>
      </c>
      <c r="C21" s="505"/>
      <c r="D21" s="505"/>
      <c r="E21" s="505"/>
      <c r="F21" s="505"/>
      <c r="G21" s="505"/>
      <c r="H21" s="505"/>
      <c r="I21" s="505"/>
      <c r="J21" s="505"/>
      <c r="K21" s="505"/>
      <c r="L21" s="506"/>
    </row>
    <row r="22" spans="1:12">
      <c r="A22" s="506">
        <v>2</v>
      </c>
      <c r="B22" s="508" t="s">
        <v>984</v>
      </c>
      <c r="C22" s="505"/>
      <c r="D22" s="505"/>
      <c r="E22" s="505"/>
      <c r="F22" s="505"/>
      <c r="G22" s="505"/>
      <c r="H22" s="505"/>
      <c r="I22" s="505"/>
      <c r="J22" s="505"/>
      <c r="K22" s="505"/>
      <c r="L22" s="506"/>
    </row>
    <row r="23" spans="1:12">
      <c r="A23" s="503">
        <v>3</v>
      </c>
      <c r="B23" s="504" t="s">
        <v>985</v>
      </c>
      <c r="C23" s="505"/>
      <c r="D23" s="505"/>
      <c r="E23" s="505"/>
      <c r="F23" s="505"/>
      <c r="G23" s="505"/>
      <c r="H23" s="505"/>
      <c r="I23" s="505"/>
      <c r="J23" s="505"/>
      <c r="K23" s="505"/>
    </row>
    <row r="24" spans="1:12">
      <c r="A24" s="503">
        <v>4</v>
      </c>
      <c r="B24" s="508" t="s">
        <v>986</v>
      </c>
      <c r="C24" s="505"/>
      <c r="D24" s="505"/>
      <c r="E24" s="505"/>
      <c r="F24" s="505"/>
      <c r="G24" s="505"/>
      <c r="H24" s="505"/>
      <c r="I24" s="505"/>
      <c r="J24" s="505"/>
      <c r="K24" s="505"/>
    </row>
    <row r="25" spans="1:12">
      <c r="A25" s="503">
        <v>5</v>
      </c>
      <c r="B25" s="508" t="s">
        <v>988</v>
      </c>
      <c r="C25" s="505"/>
      <c r="D25" s="505"/>
      <c r="E25" s="505"/>
      <c r="F25" s="505"/>
      <c r="G25" s="505"/>
      <c r="H25" s="505"/>
      <c r="I25" s="505"/>
      <c r="J25" s="505"/>
      <c r="K25" s="505"/>
    </row>
    <row r="26" spans="1:12">
      <c r="A26" s="503">
        <v>6</v>
      </c>
      <c r="B26" s="508" t="s">
        <v>989</v>
      </c>
      <c r="C26" s="505"/>
      <c r="D26" s="505"/>
      <c r="E26" s="505"/>
      <c r="F26" s="505"/>
      <c r="G26" s="505"/>
      <c r="H26" s="505"/>
      <c r="I26" s="505"/>
      <c r="J26" s="505"/>
      <c r="K26" s="505"/>
    </row>
    <row r="27" spans="1:12">
      <c r="A27" s="503">
        <v>7</v>
      </c>
      <c r="B27" s="508" t="s">
        <v>990</v>
      </c>
      <c r="C27" s="505"/>
      <c r="D27" s="505"/>
      <c r="E27" s="505"/>
      <c r="F27" s="505"/>
      <c r="G27" s="505"/>
      <c r="H27" s="505"/>
      <c r="I27" s="505"/>
      <c r="J27" s="505"/>
      <c r="K27" s="505"/>
    </row>
    <row r="28" spans="1:12">
      <c r="A28" s="503">
        <v>8</v>
      </c>
      <c r="B28" s="508" t="s">
        <v>987</v>
      </c>
      <c r="C28" s="505"/>
      <c r="D28" s="505"/>
      <c r="E28" s="505"/>
      <c r="F28" s="505"/>
      <c r="G28" s="505"/>
      <c r="H28" s="505"/>
      <c r="I28" s="505"/>
      <c r="J28" s="505"/>
      <c r="K28" s="505"/>
    </row>
    <row r="29" spans="1:12">
      <c r="A29" s="503">
        <v>9</v>
      </c>
      <c r="B29" s="508" t="s">
        <v>991</v>
      </c>
      <c r="C29" s="505"/>
      <c r="D29" s="505"/>
      <c r="E29" s="505"/>
      <c r="F29" s="505"/>
      <c r="G29" s="505"/>
      <c r="H29" s="505"/>
      <c r="I29" s="505"/>
      <c r="J29" s="505"/>
      <c r="K29" s="505"/>
    </row>
    <row r="30" spans="1:12">
      <c r="A30" s="503">
        <v>10</v>
      </c>
      <c r="B30" s="508" t="s">
        <v>992</v>
      </c>
      <c r="C30" s="509"/>
      <c r="D30" s="509"/>
      <c r="E30" s="509"/>
      <c r="F30" s="509"/>
      <c r="G30" s="509"/>
      <c r="H30" s="509"/>
      <c r="I30" s="509"/>
      <c r="J30" s="509"/>
      <c r="K30" s="509"/>
    </row>
    <row r="31" spans="1:12">
      <c r="A31" s="503">
        <v>11</v>
      </c>
      <c r="B31" s="508" t="s">
        <v>998</v>
      </c>
      <c r="C31" s="509"/>
      <c r="D31" s="509"/>
      <c r="E31" s="509"/>
      <c r="F31" s="509"/>
      <c r="G31" s="509"/>
      <c r="H31" s="509"/>
      <c r="I31" s="509"/>
      <c r="J31" s="509"/>
      <c r="K31" s="509"/>
    </row>
    <row r="33" spans="1:11">
      <c r="A33" s="503" t="s">
        <v>993</v>
      </c>
    </row>
    <row r="34" spans="1:11">
      <c r="A34" s="503" t="s">
        <v>994</v>
      </c>
    </row>
    <row r="35" spans="1:11">
      <c r="A35" s="503" t="s">
        <v>996</v>
      </c>
    </row>
    <row r="37" spans="1:11">
      <c r="B37" s="508" t="s">
        <v>995</v>
      </c>
      <c r="C37" s="509"/>
      <c r="D37" s="509"/>
      <c r="E37" s="509"/>
      <c r="F37" s="509"/>
      <c r="G37" s="509"/>
      <c r="H37" s="509"/>
      <c r="I37" s="509"/>
      <c r="J37" s="509"/>
      <c r="K37" s="509"/>
    </row>
    <row r="42" spans="1:11">
      <c r="A42" s="502"/>
    </row>
    <row r="43" spans="1:11">
      <c r="A43" s="502"/>
    </row>
    <row r="44" spans="1:11">
      <c r="A44" s="502"/>
    </row>
    <row r="45" spans="1:11">
      <c r="A45" s="502"/>
    </row>
    <row r="46" spans="1:11">
      <c r="A46" s="502"/>
    </row>
    <row r="47" spans="1:11">
      <c r="A47" s="502"/>
    </row>
    <row r="48" spans="1:11">
      <c r="A48" s="502"/>
    </row>
    <row r="49" spans="1:1">
      <c r="A49" s="502"/>
    </row>
    <row r="50" spans="1:1">
      <c r="A50" s="502"/>
    </row>
    <row r="51" spans="1:1">
      <c r="A51" s="502"/>
    </row>
  </sheetData>
  <hyperlinks>
    <hyperlink ref="B22" location="'Metrics for Sales '!A1" display="The right metrics for sales" xr:uid="{F1EC3CF7-77B7-4AC6-9D0F-A21F7B961410}"/>
    <hyperlink ref="B23" location="'Are you a Diminisher'!A1" display="3-How to identify your accidental diminishing behaviors when solving problems and making decisions. " xr:uid="{5AD4BE26-FBEE-44DA-8C84-62D5B8AA2E4F}"/>
    <hyperlink ref="B21" location="'Metrics for Leaders'!A1" display="Metrics for leaders" xr:uid="{69CC437D-F9DC-4ED8-8E80-51851A226CA4}"/>
    <hyperlink ref="B24" location="'Metrics for SDRs'!A1" display="The right metrics for lead generation" xr:uid="{41FB31B4-5092-47A5-ABE0-D8965B67DE2E}"/>
    <hyperlink ref="B25" location="'Pipeline Management'!A1" display="A ready to use template for real ttime pipeline mangement by source" xr:uid="{63ED4A4A-3593-49EA-BC85-76C906772BA5}"/>
    <hyperlink ref="B26" location="'Leadgen Basic Budget Planning'!A1" display="A ready to use template for leade generaton budget planning" xr:uid="{D084B351-EE9D-4C41-A22C-7BA5F4F5D7F3}"/>
    <hyperlink ref="B27" location="'Your Most Valuable Sales'!A1" display="A disruptibe approach to measure sales leaders and sales reps performance" xr:uid="{E3503276-C82C-44FD-BBA2-496C7EB7971B}"/>
    <hyperlink ref="B28" location="'Speaking like your CFO'!A1" display="The basics principles to have strategi conversations with your CFO" xr:uid="{ECC1E388-F98A-47AE-AAAD-45B07A123416}"/>
    <hyperlink ref="B29" location="'Crush the numbers'!A1" display="A summary of investments efficiencey approaches" xr:uid="{669FB0B3-A278-4E5C-97AA-C54575ED9911}"/>
    <hyperlink ref="B30" location="'Dicounted CF Automated'!A1" display="A ready to sue tempate for dicounted cach flow analysis and NPV calculation" xr:uid="{B3868968-EEA5-4D8B-9FDA-BDB07CB1DCD9}"/>
    <hyperlink ref="B31" location="'Train your sales force'!A1" display="A " xr:uid="{C20E4D37-2D1C-4043-BA16-0D74EAED60E6}"/>
    <hyperlink ref="B37" r:id="rId1" xr:uid="{D30BD515-5A90-44C9-9C75-FE2B73C58C7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47"/>
  <sheetViews>
    <sheetView workbookViewId="0"/>
  </sheetViews>
  <sheetFormatPr defaultColWidth="12.6640625" defaultRowHeight="15.75" customHeight="1"/>
  <cols>
    <col min="1" max="16384" width="12.6640625" style="24"/>
  </cols>
  <sheetData>
    <row r="1" spans="1:26" ht="13.2">
      <c r="A1" s="42"/>
    </row>
    <row r="2" spans="1:26" ht="13.2">
      <c r="A2" s="42"/>
    </row>
    <row r="3" spans="1:26" ht="13.2">
      <c r="A3" s="42"/>
    </row>
    <row r="4" spans="1:26" ht="13.2">
      <c r="A4" s="42"/>
    </row>
    <row r="5" spans="1:26" ht="13.2">
      <c r="A5" s="42"/>
    </row>
    <row r="6" spans="1:26" ht="13.2">
      <c r="A6" s="42"/>
    </row>
    <row r="7" spans="1:26" ht="13.2">
      <c r="A7" s="42"/>
    </row>
    <row r="8" spans="1:26" ht="13.2">
      <c r="A8" s="42"/>
    </row>
    <row r="9" spans="1:26" ht="13.2">
      <c r="A9" s="245" t="s">
        <v>0</v>
      </c>
      <c r="B9" s="245"/>
      <c r="C9" s="245"/>
      <c r="D9" s="245"/>
      <c r="E9" s="245"/>
      <c r="F9" s="245"/>
      <c r="G9" s="245"/>
      <c r="H9" s="245"/>
      <c r="I9" s="245"/>
      <c r="J9" s="245"/>
      <c r="K9" s="245"/>
      <c r="L9" s="245"/>
    </row>
    <row r="10" spans="1:26" ht="13.2">
      <c r="A10" s="42"/>
    </row>
    <row r="11" spans="1:26" ht="13.2">
      <c r="A11" s="25" t="s">
        <v>552</v>
      </c>
      <c r="B11" s="25"/>
    </row>
    <row r="12" spans="1:26" ht="13.2">
      <c r="A12" s="25"/>
      <c r="B12" s="25"/>
    </row>
    <row r="13" spans="1:26" ht="13.2">
      <c r="A13" s="84">
        <v>1</v>
      </c>
      <c r="B13" s="84" t="s">
        <v>531</v>
      </c>
      <c r="C13" s="84"/>
      <c r="D13" s="84"/>
      <c r="E13" s="84"/>
      <c r="F13" s="84"/>
      <c r="G13" s="84"/>
      <c r="H13" s="84"/>
      <c r="I13" s="84"/>
      <c r="J13" s="84"/>
      <c r="K13" s="84"/>
      <c r="L13" s="84"/>
      <c r="M13" s="84"/>
      <c r="N13" s="84"/>
      <c r="O13" s="84"/>
      <c r="P13" s="84"/>
      <c r="Q13" s="84"/>
      <c r="R13" s="84"/>
      <c r="S13" s="84"/>
      <c r="T13" s="84"/>
      <c r="U13" s="84"/>
      <c r="V13" s="84"/>
      <c r="W13" s="84"/>
      <c r="X13" s="84"/>
      <c r="Y13" s="84"/>
      <c r="Z13" s="84"/>
    </row>
    <row r="14" spans="1:26" ht="13.2">
      <c r="A14" s="84">
        <v>2</v>
      </c>
      <c r="B14" s="84" t="s">
        <v>1</v>
      </c>
      <c r="C14" s="84"/>
      <c r="D14" s="84"/>
      <c r="E14" s="84"/>
      <c r="F14" s="84"/>
      <c r="G14" s="84"/>
      <c r="H14" s="84"/>
      <c r="I14" s="84"/>
      <c r="J14" s="84"/>
      <c r="K14" s="84"/>
      <c r="L14" s="84"/>
      <c r="M14" s="84"/>
      <c r="N14" s="84"/>
      <c r="O14" s="84"/>
      <c r="P14" s="84"/>
      <c r="Q14" s="84"/>
      <c r="R14" s="84"/>
      <c r="S14" s="84"/>
      <c r="T14" s="84"/>
      <c r="U14" s="84"/>
      <c r="V14" s="84"/>
      <c r="W14" s="84"/>
      <c r="X14" s="84"/>
      <c r="Y14" s="84"/>
      <c r="Z14" s="84"/>
    </row>
    <row r="15" spans="1:26" ht="13.2">
      <c r="A15" s="84">
        <v>3</v>
      </c>
      <c r="B15" s="84" t="s">
        <v>2</v>
      </c>
      <c r="C15" s="84"/>
      <c r="D15" s="84"/>
      <c r="E15" s="84"/>
      <c r="F15" s="84"/>
      <c r="G15" s="84"/>
      <c r="H15" s="84"/>
      <c r="I15" s="84"/>
      <c r="J15" s="84"/>
      <c r="K15" s="84"/>
      <c r="L15" s="84"/>
      <c r="M15" s="84"/>
      <c r="N15" s="84"/>
      <c r="O15" s="84"/>
      <c r="P15" s="84"/>
      <c r="Q15" s="84"/>
      <c r="R15" s="84"/>
      <c r="S15" s="84"/>
      <c r="T15" s="84"/>
      <c r="U15" s="84"/>
      <c r="V15" s="84"/>
      <c r="W15" s="84"/>
      <c r="X15" s="84"/>
      <c r="Y15" s="84"/>
      <c r="Z15" s="84"/>
    </row>
    <row r="16" spans="1:26" ht="13.2">
      <c r="A16" s="84">
        <v>5</v>
      </c>
      <c r="B16" s="84" t="s">
        <v>3</v>
      </c>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6" ht="13.2">
      <c r="A17" s="84">
        <v>4</v>
      </c>
      <c r="B17" s="85" t="s">
        <v>4</v>
      </c>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13.2">
      <c r="A18" s="25">
        <v>5</v>
      </c>
      <c r="B18" s="25" t="s">
        <v>5</v>
      </c>
    </row>
    <row r="19" spans="1:26" ht="13.2">
      <c r="A19" s="25">
        <v>6</v>
      </c>
      <c r="B19" s="25" t="s">
        <v>532</v>
      </c>
    </row>
    <row r="21" spans="1:26" ht="13.2">
      <c r="A21" s="246" t="s">
        <v>533</v>
      </c>
      <c r="B21" s="246"/>
      <c r="C21" s="246"/>
      <c r="D21" s="246"/>
      <c r="E21" s="246"/>
      <c r="F21" s="246"/>
      <c r="G21" s="246"/>
      <c r="H21" s="246"/>
      <c r="I21" s="246"/>
      <c r="J21" s="246"/>
      <c r="K21" s="246"/>
      <c r="L21" s="246"/>
    </row>
    <row r="22" spans="1:26" ht="15.75" customHeight="1">
      <c r="A22" s="133"/>
      <c r="B22" s="133"/>
      <c r="C22" s="133"/>
      <c r="D22" s="133"/>
      <c r="E22" s="133"/>
      <c r="F22" s="133"/>
      <c r="G22" s="133"/>
      <c r="H22" s="133"/>
      <c r="I22" s="133"/>
      <c r="J22" s="133"/>
      <c r="K22" s="133"/>
      <c r="L22" s="133"/>
    </row>
    <row r="23" spans="1:26" ht="15.75" customHeight="1">
      <c r="A23" s="134" t="s">
        <v>534</v>
      </c>
      <c r="B23" s="133"/>
      <c r="C23" s="133"/>
      <c r="D23" s="133"/>
      <c r="E23" s="133"/>
      <c r="F23" s="133"/>
      <c r="G23" s="133"/>
      <c r="H23" s="135" t="s">
        <v>538</v>
      </c>
      <c r="I23" s="136"/>
      <c r="J23" s="133"/>
      <c r="K23" s="133"/>
      <c r="L23" s="133"/>
    </row>
    <row r="24" spans="1:26" ht="15.75" customHeight="1">
      <c r="A24" s="133" t="s">
        <v>535</v>
      </c>
      <c r="B24" s="133"/>
      <c r="C24" s="133"/>
      <c r="D24" s="133"/>
      <c r="E24" s="133"/>
      <c r="F24" s="133"/>
      <c r="G24" s="133"/>
      <c r="H24" s="137" t="s">
        <v>542</v>
      </c>
      <c r="I24" s="137"/>
      <c r="J24" s="133"/>
      <c r="K24" s="133"/>
      <c r="L24" s="133"/>
    </row>
    <row r="25" spans="1:26" ht="15.75" customHeight="1">
      <c r="A25" s="137" t="s">
        <v>547</v>
      </c>
      <c r="B25" s="133"/>
      <c r="C25" s="133"/>
      <c r="D25" s="133"/>
      <c r="E25" s="133"/>
      <c r="F25" s="133"/>
      <c r="G25" s="133"/>
      <c r="H25" s="137" t="s">
        <v>553</v>
      </c>
      <c r="I25" s="137"/>
      <c r="J25" s="133"/>
      <c r="K25" s="133"/>
      <c r="L25" s="133"/>
    </row>
    <row r="26" spans="1:26" ht="15.75" customHeight="1">
      <c r="A26" s="133" t="s">
        <v>536</v>
      </c>
      <c r="B26" s="133"/>
      <c r="C26" s="133"/>
      <c r="D26" s="133"/>
      <c r="E26" s="133"/>
      <c r="F26" s="133"/>
      <c r="G26" s="133"/>
      <c r="H26" s="137" t="s">
        <v>544</v>
      </c>
      <c r="I26" s="137"/>
      <c r="J26" s="133"/>
      <c r="K26" s="133"/>
      <c r="L26" s="133"/>
    </row>
    <row r="27" spans="1:26" ht="15.75" customHeight="1">
      <c r="A27" s="133" t="s">
        <v>537</v>
      </c>
      <c r="B27" s="133"/>
      <c r="C27" s="133"/>
      <c r="D27" s="133"/>
      <c r="E27" s="133"/>
      <c r="F27" s="133"/>
      <c r="G27" s="133"/>
      <c r="H27" s="137" t="s">
        <v>543</v>
      </c>
      <c r="I27" s="137"/>
      <c r="J27" s="133"/>
      <c r="K27" s="133"/>
      <c r="L27" s="133"/>
    </row>
    <row r="28" spans="1:26" ht="15.75" customHeight="1">
      <c r="A28" s="133"/>
      <c r="B28" s="133"/>
      <c r="C28" s="133"/>
      <c r="D28" s="133"/>
      <c r="E28" s="133"/>
      <c r="F28" s="133"/>
      <c r="G28" s="133"/>
      <c r="H28" s="133"/>
      <c r="I28" s="133"/>
      <c r="J28" s="133"/>
      <c r="K28" s="133"/>
      <c r="L28" s="133"/>
    </row>
    <row r="29" spans="1:26" ht="15.75" customHeight="1">
      <c r="A29" s="133"/>
      <c r="B29" s="133"/>
      <c r="C29" s="133"/>
      <c r="D29" s="133"/>
      <c r="E29" s="133"/>
      <c r="F29" s="133"/>
      <c r="G29" s="133"/>
      <c r="H29" s="133"/>
      <c r="I29" s="133"/>
      <c r="J29" s="133"/>
      <c r="K29" s="133"/>
      <c r="L29" s="133"/>
    </row>
    <row r="30" spans="1:26" ht="15.75" customHeight="1">
      <c r="A30" s="133"/>
      <c r="B30" s="133"/>
      <c r="C30" s="133"/>
      <c r="D30" s="133"/>
      <c r="E30" s="133"/>
      <c r="F30" s="133"/>
      <c r="G30" s="133"/>
      <c r="H30" s="133"/>
      <c r="I30" s="133"/>
      <c r="J30" s="133"/>
      <c r="K30" s="133"/>
      <c r="L30" s="133"/>
    </row>
    <row r="31" spans="1:26" ht="15.75" customHeight="1">
      <c r="A31" s="133"/>
      <c r="B31" s="133"/>
      <c r="C31" s="133"/>
      <c r="D31" s="133"/>
      <c r="E31" s="133"/>
      <c r="F31" s="133"/>
      <c r="G31" s="133"/>
      <c r="H31" s="133"/>
      <c r="I31" s="133"/>
      <c r="J31" s="133"/>
      <c r="K31" s="133"/>
      <c r="L31" s="133"/>
    </row>
    <row r="32" spans="1:26" ht="15.75" customHeight="1">
      <c r="A32" s="133"/>
      <c r="B32" s="133"/>
      <c r="C32" s="133"/>
      <c r="D32" s="133"/>
      <c r="E32" s="133"/>
      <c r="F32" s="133"/>
      <c r="G32" s="133"/>
      <c r="H32" s="133"/>
      <c r="I32" s="133"/>
      <c r="J32" s="133"/>
      <c r="K32" s="133"/>
      <c r="L32" s="133"/>
    </row>
    <row r="33" spans="1:12" ht="15.75" customHeight="1">
      <c r="A33" s="133"/>
      <c r="B33" s="133"/>
      <c r="C33" s="133"/>
      <c r="D33" s="133"/>
      <c r="E33" s="133"/>
      <c r="F33" s="133"/>
      <c r="G33" s="133"/>
      <c r="H33" s="137"/>
      <c r="I33" s="137"/>
      <c r="J33" s="133"/>
      <c r="K33" s="133"/>
      <c r="L33" s="133"/>
    </row>
    <row r="34" spans="1:12" ht="15.75" customHeight="1">
      <c r="A34" s="138" t="s">
        <v>540</v>
      </c>
      <c r="B34" s="133"/>
      <c r="C34" s="133"/>
      <c r="D34" s="133"/>
      <c r="E34" s="133"/>
      <c r="F34" s="133"/>
      <c r="G34" s="133"/>
      <c r="H34" s="139" t="s">
        <v>541</v>
      </c>
      <c r="I34" s="136"/>
      <c r="J34" s="133"/>
      <c r="K34" s="133"/>
      <c r="L34" s="133"/>
    </row>
    <row r="35" spans="1:12" ht="15.75" customHeight="1">
      <c r="A35" s="137" t="s">
        <v>545</v>
      </c>
      <c r="B35" s="133"/>
      <c r="C35" s="133"/>
      <c r="D35" s="133"/>
      <c r="E35" s="133"/>
      <c r="F35" s="133"/>
      <c r="G35" s="133"/>
      <c r="H35" s="137" t="s">
        <v>548</v>
      </c>
      <c r="I35" s="137"/>
      <c r="J35" s="133"/>
      <c r="K35" s="133"/>
      <c r="L35" s="133"/>
    </row>
    <row r="36" spans="1:12" ht="15.75" customHeight="1">
      <c r="A36" s="137" t="s">
        <v>539</v>
      </c>
      <c r="B36" s="133"/>
      <c r="C36" s="133"/>
      <c r="D36" s="133"/>
      <c r="E36" s="133"/>
      <c r="F36" s="133"/>
      <c r="G36" s="133"/>
      <c r="H36" s="137" t="s">
        <v>554</v>
      </c>
      <c r="I36" s="137"/>
      <c r="J36" s="133"/>
      <c r="K36" s="133"/>
      <c r="L36" s="133"/>
    </row>
    <row r="37" spans="1:12" ht="15.75" customHeight="1">
      <c r="A37" s="137" t="s">
        <v>546</v>
      </c>
      <c r="B37" s="133"/>
      <c r="C37" s="133"/>
      <c r="D37" s="133"/>
      <c r="E37" s="133"/>
      <c r="F37" s="133"/>
      <c r="G37" s="133"/>
      <c r="H37" s="137" t="s">
        <v>549</v>
      </c>
      <c r="I37" s="137"/>
      <c r="J37" s="133"/>
      <c r="K37" s="133"/>
      <c r="L37" s="133"/>
    </row>
    <row r="38" spans="1:12" ht="15.75" customHeight="1">
      <c r="A38" s="137" t="s">
        <v>551</v>
      </c>
      <c r="B38" s="133"/>
      <c r="C38" s="133"/>
      <c r="D38" s="133"/>
      <c r="E38" s="133"/>
      <c r="F38" s="133"/>
      <c r="G38" s="133"/>
      <c r="H38" s="137" t="s">
        <v>550</v>
      </c>
      <c r="I38" s="137"/>
      <c r="J38" s="133"/>
      <c r="K38" s="133"/>
      <c r="L38" s="133"/>
    </row>
    <row r="39" spans="1:12" ht="15.75" customHeight="1">
      <c r="A39" s="133"/>
      <c r="B39" s="133"/>
      <c r="C39" s="133"/>
      <c r="D39" s="133"/>
      <c r="E39" s="133"/>
      <c r="F39" s="133"/>
      <c r="G39" s="133"/>
      <c r="H39" s="133"/>
      <c r="I39" s="133"/>
      <c r="J39" s="133"/>
      <c r="K39" s="133"/>
      <c r="L39" s="133"/>
    </row>
    <row r="40" spans="1:12" ht="15.75" customHeight="1">
      <c r="A40" s="133"/>
      <c r="B40" s="133"/>
      <c r="C40" s="133"/>
      <c r="D40" s="133"/>
      <c r="E40" s="133"/>
      <c r="F40" s="133"/>
      <c r="G40" s="133"/>
      <c r="H40" s="133"/>
      <c r="I40" s="133"/>
      <c r="J40" s="133"/>
      <c r="K40" s="133"/>
      <c r="L40" s="133"/>
    </row>
    <row r="41" spans="1:12" ht="15.75" customHeight="1">
      <c r="A41" s="133"/>
      <c r="B41" s="133"/>
      <c r="C41" s="133"/>
      <c r="D41" s="133"/>
      <c r="E41" s="133"/>
      <c r="F41" s="133"/>
      <c r="G41" s="133"/>
      <c r="H41" s="133"/>
      <c r="I41" s="133"/>
      <c r="J41" s="133"/>
      <c r="K41" s="133"/>
      <c r="L41" s="133"/>
    </row>
    <row r="42" spans="1:12" ht="13.2">
      <c r="A42" s="245" t="s">
        <v>6</v>
      </c>
      <c r="B42" s="245"/>
      <c r="C42" s="245"/>
      <c r="D42" s="245"/>
      <c r="E42" s="245"/>
      <c r="F42" s="245"/>
      <c r="G42" s="245"/>
      <c r="H42" s="245"/>
      <c r="I42" s="245"/>
      <c r="J42" s="245"/>
      <c r="K42" s="245"/>
      <c r="L42" s="245"/>
    </row>
    <row r="44" spans="1:12" ht="13.2">
      <c r="A44" s="25" t="s">
        <v>7</v>
      </c>
      <c r="B44" s="42"/>
    </row>
    <row r="45" spans="1:12" ht="13.2">
      <c r="A45" s="25" t="s">
        <v>8</v>
      </c>
      <c r="B45" s="42"/>
    </row>
    <row r="46" spans="1:12" ht="13.2">
      <c r="A46" s="25" t="s">
        <v>9</v>
      </c>
      <c r="B46" s="42"/>
    </row>
    <row r="47" spans="1:12" ht="13.2">
      <c r="A47" s="25" t="s">
        <v>10</v>
      </c>
      <c r="B47" s="42"/>
    </row>
    <row r="48" spans="1:12" ht="13.2">
      <c r="A48" s="25" t="s">
        <v>11</v>
      </c>
      <c r="B48" s="42"/>
    </row>
    <row r="49" spans="1:2" ht="13.2">
      <c r="B49" s="42"/>
    </row>
    <row r="50" spans="1:2" ht="13.2">
      <c r="A50" s="25" t="s">
        <v>12</v>
      </c>
      <c r="B50" s="42"/>
    </row>
    <row r="51" spans="1:2" ht="13.2">
      <c r="B51" s="42"/>
    </row>
    <row r="52" spans="1:2" ht="13.2">
      <c r="B52" s="42" t="s">
        <v>13</v>
      </c>
    </row>
    <row r="53" spans="1:2" ht="13.2">
      <c r="B53" s="25" t="s">
        <v>14</v>
      </c>
    </row>
    <row r="54" spans="1:2" ht="13.2">
      <c r="B54" s="87" t="s">
        <v>15</v>
      </c>
    </row>
    <row r="55" spans="1:2" ht="13.2">
      <c r="B55" s="87"/>
    </row>
    <row r="56" spans="1:2" ht="13.2">
      <c r="B56" s="42" t="s">
        <v>16</v>
      </c>
    </row>
    <row r="57" spans="1:2" ht="13.2">
      <c r="B57" s="25" t="s">
        <v>17</v>
      </c>
    </row>
    <row r="58" spans="1:2" ht="13.2">
      <c r="B58" s="87" t="s">
        <v>18</v>
      </c>
    </row>
    <row r="59" spans="1:2" ht="13.2">
      <c r="B59" s="87"/>
    </row>
    <row r="60" spans="1:2" ht="13.2">
      <c r="B60" s="42" t="s">
        <v>19</v>
      </c>
    </row>
    <row r="61" spans="1:2" ht="13.2">
      <c r="B61" s="25" t="s">
        <v>20</v>
      </c>
    </row>
    <row r="62" spans="1:2" ht="13.2">
      <c r="B62" s="87" t="s">
        <v>21</v>
      </c>
    </row>
    <row r="63" spans="1:2" ht="13.2">
      <c r="B63" s="87"/>
    </row>
    <row r="64" spans="1:2" ht="13.2">
      <c r="B64" s="42" t="s">
        <v>22</v>
      </c>
    </row>
    <row r="65" spans="2:2" ht="13.2">
      <c r="B65" s="25" t="s">
        <v>23</v>
      </c>
    </row>
    <row r="66" spans="2:2" ht="13.2">
      <c r="B66" s="87" t="s">
        <v>24</v>
      </c>
    </row>
    <row r="67" spans="2:2" ht="13.2">
      <c r="B67" s="87"/>
    </row>
    <row r="68" spans="2:2" ht="13.2">
      <c r="B68" s="42" t="s">
        <v>25</v>
      </c>
    </row>
    <row r="69" spans="2:2" ht="13.2">
      <c r="B69" s="25" t="s">
        <v>26</v>
      </c>
    </row>
    <row r="70" spans="2:2" ht="13.2">
      <c r="B70" s="87" t="s">
        <v>27</v>
      </c>
    </row>
    <row r="71" spans="2:2" ht="13.2">
      <c r="B71" s="42"/>
    </row>
    <row r="72" spans="2:2" ht="13.2">
      <c r="B72" s="42" t="s">
        <v>28</v>
      </c>
    </row>
    <row r="73" spans="2:2" ht="13.2">
      <c r="B73" s="25" t="s">
        <v>29</v>
      </c>
    </row>
    <row r="74" spans="2:2" ht="13.2">
      <c r="B74" s="87" t="s">
        <v>30</v>
      </c>
    </row>
    <row r="75" spans="2:2" ht="13.2">
      <c r="B75" s="42"/>
    </row>
    <row r="76" spans="2:2" ht="13.2">
      <c r="B76" s="42" t="s">
        <v>31</v>
      </c>
    </row>
    <row r="77" spans="2:2" ht="13.2">
      <c r="B77" s="25" t="s">
        <v>32</v>
      </c>
    </row>
    <row r="78" spans="2:2" ht="13.2">
      <c r="B78" s="87" t="s">
        <v>33</v>
      </c>
    </row>
    <row r="79" spans="2:2" ht="13.2">
      <c r="B79" s="42"/>
    </row>
    <row r="80" spans="2:2" ht="13.2">
      <c r="B80" s="42" t="s">
        <v>34</v>
      </c>
    </row>
    <row r="81" spans="1:2" ht="13.2">
      <c r="A81" s="25"/>
      <c r="B81" s="25" t="s">
        <v>35</v>
      </c>
    </row>
    <row r="82" spans="1:2" ht="13.2">
      <c r="A82" s="25"/>
      <c r="B82" s="87" t="s">
        <v>36</v>
      </c>
    </row>
    <row r="83" spans="1:2" ht="13.2">
      <c r="A83" s="25"/>
      <c r="B83" s="42"/>
    </row>
    <row r="84" spans="1:2" ht="13.2">
      <c r="A84" s="25"/>
      <c r="B84" s="42" t="s">
        <v>37</v>
      </c>
    </row>
    <row r="85" spans="1:2" ht="13.2">
      <c r="A85" s="25"/>
      <c r="B85" s="25" t="s">
        <v>38</v>
      </c>
    </row>
    <row r="86" spans="1:2" ht="13.2">
      <c r="A86" s="25"/>
      <c r="B86" s="87" t="s">
        <v>39</v>
      </c>
    </row>
    <row r="87" spans="1:2" ht="13.2">
      <c r="A87" s="25"/>
      <c r="B87" s="42"/>
    </row>
    <row r="88" spans="1:2" ht="13.2">
      <c r="A88" s="25"/>
      <c r="B88" s="42" t="s">
        <v>40</v>
      </c>
    </row>
    <row r="89" spans="1:2" ht="13.2">
      <c r="A89" s="25"/>
      <c r="B89" s="25" t="s">
        <v>41</v>
      </c>
    </row>
    <row r="90" spans="1:2" ht="13.2">
      <c r="A90" s="25"/>
      <c r="B90" s="87" t="s">
        <v>42</v>
      </c>
    </row>
    <row r="91" spans="1:2" ht="13.2">
      <c r="A91" s="25"/>
      <c r="B91" s="42"/>
    </row>
    <row r="92" spans="1:2" ht="13.2">
      <c r="A92" s="25"/>
      <c r="B92" s="42" t="s">
        <v>43</v>
      </c>
    </row>
    <row r="93" spans="1:2" ht="13.2">
      <c r="A93" s="25"/>
      <c r="B93" s="25" t="s">
        <v>44</v>
      </c>
    </row>
    <row r="94" spans="1:2" ht="13.2">
      <c r="B94" s="87" t="s">
        <v>45</v>
      </c>
    </row>
    <row r="95" spans="1:2" ht="13.2">
      <c r="B95" s="42"/>
    </row>
    <row r="96" spans="1:2" ht="13.2">
      <c r="A96" s="25" t="s">
        <v>46</v>
      </c>
      <c r="B96" s="42"/>
    </row>
    <row r="97" spans="1:12" ht="13.2">
      <c r="A97" s="25" t="s">
        <v>47</v>
      </c>
      <c r="B97" s="42"/>
    </row>
    <row r="98" spans="1:12" ht="13.2">
      <c r="A98" s="25" t="s">
        <v>48</v>
      </c>
      <c r="B98" s="42"/>
    </row>
    <row r="99" spans="1:12" ht="13.2">
      <c r="B99" s="42"/>
    </row>
    <row r="100" spans="1:12" ht="13.2">
      <c r="A100" s="42" t="s">
        <v>49</v>
      </c>
    </row>
    <row r="101" spans="1:12" ht="13.2">
      <c r="A101" s="42"/>
    </row>
    <row r="102" spans="1:12" ht="13.2">
      <c r="B102" s="293" t="s">
        <v>50</v>
      </c>
      <c r="C102" s="28"/>
      <c r="D102" s="28"/>
      <c r="E102" s="28"/>
      <c r="F102" s="28"/>
      <c r="G102" s="28"/>
      <c r="H102" s="28"/>
      <c r="I102" s="28"/>
    </row>
    <row r="103" spans="1:12" ht="13.2">
      <c r="B103" s="293" t="s">
        <v>51</v>
      </c>
      <c r="C103" s="28"/>
      <c r="D103" s="28"/>
      <c r="E103" s="28"/>
      <c r="F103" s="28"/>
      <c r="G103" s="28"/>
      <c r="H103" s="28"/>
      <c r="I103" s="28"/>
    </row>
    <row r="104" spans="1:12" ht="13.2">
      <c r="B104" s="293" t="s">
        <v>52</v>
      </c>
      <c r="C104" s="28"/>
      <c r="D104" s="28"/>
      <c r="E104" s="28"/>
      <c r="F104" s="28"/>
      <c r="G104" s="28"/>
      <c r="H104" s="28"/>
      <c r="I104" s="28"/>
    </row>
    <row r="105" spans="1:12" ht="13.2">
      <c r="B105" s="293" t="s">
        <v>53</v>
      </c>
      <c r="C105" s="28"/>
      <c r="D105" s="28"/>
      <c r="E105" s="28"/>
      <c r="F105" s="28"/>
      <c r="G105" s="28"/>
      <c r="H105" s="28"/>
      <c r="I105" s="28"/>
    </row>
    <row r="106" spans="1:12" ht="13.2">
      <c r="B106" s="293" t="s">
        <v>54</v>
      </c>
      <c r="C106" s="28"/>
      <c r="D106" s="28"/>
      <c r="E106" s="28"/>
      <c r="F106" s="28"/>
      <c r="G106" s="28"/>
      <c r="H106" s="28"/>
      <c r="I106" s="28"/>
    </row>
    <row r="107" spans="1:12" ht="13.2">
      <c r="B107" s="293" t="s">
        <v>55</v>
      </c>
      <c r="C107" s="28"/>
      <c r="D107" s="28"/>
      <c r="E107" s="28"/>
      <c r="F107" s="28"/>
      <c r="G107" s="28"/>
      <c r="H107" s="28"/>
      <c r="I107" s="28"/>
    </row>
    <row r="108" spans="1:12" ht="13.2">
      <c r="B108" s="293" t="s">
        <v>56</v>
      </c>
      <c r="C108" s="28"/>
      <c r="D108" s="28"/>
      <c r="E108" s="28"/>
      <c r="F108" s="28"/>
      <c r="G108" s="28"/>
      <c r="H108" s="28"/>
      <c r="I108" s="28"/>
    </row>
    <row r="109" spans="1:12" ht="13.2">
      <c r="A109" s="25"/>
    </row>
    <row r="110" spans="1:12" ht="13.2">
      <c r="A110" s="25"/>
    </row>
    <row r="111" spans="1:12" ht="13.2">
      <c r="A111" s="245" t="s">
        <v>57</v>
      </c>
      <c r="B111" s="245"/>
      <c r="C111" s="245"/>
      <c r="D111" s="245"/>
      <c r="E111" s="245"/>
      <c r="F111" s="245"/>
      <c r="G111" s="245"/>
      <c r="H111" s="245"/>
      <c r="I111" s="245"/>
      <c r="J111" s="245"/>
      <c r="K111" s="245"/>
      <c r="L111" s="245"/>
    </row>
    <row r="112" spans="1:12" ht="13.2">
      <c r="B112" s="25"/>
    </row>
    <row r="113" spans="1:2" ht="13.2">
      <c r="A113" s="25" t="s">
        <v>58</v>
      </c>
      <c r="B113" s="25"/>
    </row>
    <row r="114" spans="1:2" ht="13.2">
      <c r="A114" s="25" t="s">
        <v>59</v>
      </c>
      <c r="B114" s="25"/>
    </row>
    <row r="115" spans="1:2" ht="13.2">
      <c r="A115" s="25" t="s">
        <v>60</v>
      </c>
      <c r="B115" s="25"/>
    </row>
    <row r="116" spans="1:2" ht="13.2">
      <c r="B116" s="25"/>
    </row>
    <row r="117" spans="1:2" ht="13.2">
      <c r="B117" s="25" t="s">
        <v>61</v>
      </c>
    </row>
    <row r="118" spans="1:2" ht="13.2">
      <c r="B118" s="25"/>
    </row>
    <row r="119" spans="1:2" ht="13.2">
      <c r="B119" s="25" t="s">
        <v>62</v>
      </c>
    </row>
    <row r="120" spans="1:2" ht="13.2">
      <c r="B120" s="25"/>
    </row>
    <row r="121" spans="1:2" ht="13.2">
      <c r="B121" s="25" t="s">
        <v>63</v>
      </c>
    </row>
    <row r="122" spans="1:2" ht="13.2">
      <c r="B122" s="25"/>
    </row>
    <row r="123" spans="1:2" ht="13.2">
      <c r="B123" s="25" t="s">
        <v>64</v>
      </c>
    </row>
    <row r="124" spans="1:2" ht="13.2">
      <c r="B124" s="25"/>
    </row>
    <row r="125" spans="1:2" ht="13.2">
      <c r="B125" s="25" t="s">
        <v>65</v>
      </c>
    </row>
    <row r="126" spans="1:2" ht="13.2">
      <c r="B126" s="25"/>
    </row>
    <row r="127" spans="1:2" ht="13.2">
      <c r="B127" s="25" t="s">
        <v>66</v>
      </c>
    </row>
    <row r="128" spans="1:2" ht="13.2">
      <c r="B128" s="25"/>
    </row>
    <row r="129" spans="1:26" ht="13.2">
      <c r="B129" s="25" t="s">
        <v>67</v>
      </c>
    </row>
    <row r="131" spans="1:26" ht="13.2">
      <c r="B131" s="58" t="s">
        <v>68</v>
      </c>
    </row>
    <row r="132" spans="1:26" ht="13.2">
      <c r="B132" s="88" t="s">
        <v>69</v>
      </c>
    </row>
    <row r="133" spans="1:26" ht="13.2">
      <c r="A133" s="42"/>
    </row>
    <row r="134" spans="1:26" ht="13.2">
      <c r="A134" s="42"/>
    </row>
    <row r="135" spans="1:26" ht="13.2">
      <c r="A135" s="42"/>
    </row>
    <row r="137" spans="1:26" ht="13.2">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3.2">
      <c r="A138" s="84"/>
      <c r="B138" s="85"/>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3.2">
      <c r="A139" s="84"/>
      <c r="B139" s="89"/>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3.2">
      <c r="A140" s="84"/>
      <c r="B140" s="85"/>
      <c r="C140" s="85"/>
      <c r="D140" s="85"/>
      <c r="E140" s="85"/>
      <c r="F140" s="84"/>
      <c r="G140" s="84"/>
      <c r="H140" s="84"/>
      <c r="I140" s="84"/>
      <c r="J140" s="84"/>
      <c r="K140" s="84"/>
      <c r="L140" s="84"/>
      <c r="M140" s="84"/>
      <c r="N140" s="84"/>
      <c r="O140" s="84"/>
      <c r="P140" s="84"/>
      <c r="Q140" s="84"/>
      <c r="R140" s="84"/>
      <c r="S140" s="84"/>
      <c r="T140" s="84"/>
      <c r="U140" s="84"/>
      <c r="V140" s="84"/>
      <c r="W140" s="84"/>
      <c r="X140" s="84"/>
      <c r="Y140" s="84"/>
      <c r="Z140" s="84"/>
    </row>
    <row r="141" spans="1:26" ht="13.2">
      <c r="B141" s="90"/>
    </row>
    <row r="142" spans="1:26" ht="13.2">
      <c r="B142" s="90"/>
    </row>
    <row r="143" spans="1:26" ht="13.2">
      <c r="B143" s="90"/>
    </row>
    <row r="144" spans="1:26" ht="13.2">
      <c r="B144" s="90"/>
    </row>
    <row r="145" spans="2:2" ht="13.2">
      <c r="B145" s="90"/>
    </row>
    <row r="146" spans="2:2" ht="13.2">
      <c r="B146" s="90"/>
    </row>
    <row r="147" spans="2:2" ht="13.2">
      <c r="B147" s="90"/>
    </row>
  </sheetData>
  <mergeCells count="4">
    <mergeCell ref="A9:L9"/>
    <mergeCell ref="A21:L21"/>
    <mergeCell ref="A42:L42"/>
    <mergeCell ref="A111:L1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8:L241"/>
  <sheetViews>
    <sheetView workbookViewId="0"/>
  </sheetViews>
  <sheetFormatPr defaultColWidth="12.6640625" defaultRowHeight="15.75" customHeight="1"/>
  <cols>
    <col min="1" max="16384" width="12.6640625" style="24"/>
  </cols>
  <sheetData>
    <row r="8" spans="1:1" ht="13.2">
      <c r="A8" s="25" t="s">
        <v>70</v>
      </c>
    </row>
    <row r="9" spans="1:1" ht="13.2">
      <c r="A9" s="25"/>
    </row>
    <row r="10" spans="1:1" ht="13.2">
      <c r="A10" s="25" t="s">
        <v>71</v>
      </c>
    </row>
    <row r="11" spans="1:1" ht="13.2">
      <c r="A11" s="25"/>
    </row>
    <row r="12" spans="1:1" ht="13.2">
      <c r="A12" s="25" t="s">
        <v>72</v>
      </c>
    </row>
    <row r="13" spans="1:1" ht="13.2">
      <c r="A13" s="25" t="s">
        <v>73</v>
      </c>
    </row>
    <row r="14" spans="1:1" ht="13.2">
      <c r="A14" s="25" t="s">
        <v>923</v>
      </c>
    </row>
    <row r="15" spans="1:1" ht="13.2">
      <c r="A15" s="25" t="s">
        <v>74</v>
      </c>
    </row>
    <row r="16" spans="1:1" ht="13.2">
      <c r="A16" s="25"/>
    </row>
    <row r="17" spans="1:12" ht="13.2">
      <c r="A17" s="25" t="s">
        <v>924</v>
      </c>
    </row>
    <row r="18" spans="1:12" ht="13.2">
      <c r="A18" s="25" t="s">
        <v>75</v>
      </c>
    </row>
    <row r="20" spans="1:12" ht="13.2">
      <c r="A20" s="294" t="s">
        <v>76</v>
      </c>
      <c r="B20" s="294"/>
      <c r="C20" s="294"/>
      <c r="D20" s="294"/>
      <c r="E20" s="294"/>
      <c r="F20" s="294"/>
      <c r="G20" s="294"/>
      <c r="H20" s="294"/>
      <c r="I20" s="294"/>
      <c r="J20" s="294"/>
      <c r="K20" s="294"/>
      <c r="L20" s="294"/>
    </row>
    <row r="22" spans="1:12" ht="13.2">
      <c r="A22" s="42" t="s">
        <v>77</v>
      </c>
    </row>
    <row r="23" spans="1:12" ht="13.2">
      <c r="A23" s="25"/>
    </row>
    <row r="24" spans="1:12" ht="13.2">
      <c r="A24" s="25" t="s">
        <v>926</v>
      </c>
    </row>
    <row r="25" spans="1:12" ht="13.2">
      <c r="A25" s="25" t="s">
        <v>927</v>
      </c>
    </row>
    <row r="26" spans="1:12" ht="13.2">
      <c r="A26" s="25" t="s">
        <v>78</v>
      </c>
    </row>
    <row r="28" spans="1:12" ht="13.2">
      <c r="A28" s="83" t="s">
        <v>79</v>
      </c>
    </row>
    <row r="29" spans="1:12" ht="13.2">
      <c r="A29" s="25" t="s">
        <v>928</v>
      </c>
    </row>
    <row r="30" spans="1:12" ht="13.2">
      <c r="A30" s="25" t="s">
        <v>929</v>
      </c>
    </row>
    <row r="31" spans="1:12" ht="13.2">
      <c r="A31" s="25" t="s">
        <v>930</v>
      </c>
    </row>
    <row r="32" spans="1:12" ht="13.2">
      <c r="A32" s="25" t="s">
        <v>80</v>
      </c>
    </row>
    <row r="34" spans="1:3" ht="13.2">
      <c r="A34" s="25" t="s">
        <v>931</v>
      </c>
    </row>
    <row r="35" spans="1:3" ht="13.2">
      <c r="A35" s="25"/>
    </row>
    <row r="36" spans="1:3" ht="13.2">
      <c r="A36" s="25" t="s">
        <v>81</v>
      </c>
    </row>
    <row r="38" spans="1:3" ht="13.2">
      <c r="B38" s="28" t="s">
        <v>82</v>
      </c>
      <c r="C38" s="28"/>
    </row>
    <row r="39" spans="1:3" ht="13.2">
      <c r="B39" s="28" t="s">
        <v>83</v>
      </c>
      <c r="C39" s="28"/>
    </row>
    <row r="40" spans="1:3" ht="13.2">
      <c r="B40" s="28" t="s">
        <v>84</v>
      </c>
      <c r="C40" s="28"/>
    </row>
    <row r="41" spans="1:3" ht="13.2">
      <c r="B41" s="28" t="s">
        <v>85</v>
      </c>
      <c r="C41" s="28"/>
    </row>
    <row r="42" spans="1:3" ht="13.2">
      <c r="B42" s="28" t="s">
        <v>86</v>
      </c>
      <c r="C42" s="28"/>
    </row>
    <row r="43" spans="1:3" ht="13.2">
      <c r="B43" s="28" t="s">
        <v>87</v>
      </c>
      <c r="C43" s="28"/>
    </row>
    <row r="44" spans="1:3" ht="13.2">
      <c r="B44" s="28" t="s">
        <v>88</v>
      </c>
      <c r="C44" s="28"/>
    </row>
    <row r="45" spans="1:3" ht="13.2">
      <c r="B45" s="28" t="s">
        <v>89</v>
      </c>
      <c r="C45" s="28"/>
    </row>
    <row r="47" spans="1:3" ht="13.2">
      <c r="A47" s="25" t="s">
        <v>90</v>
      </c>
    </row>
    <row r="48" spans="1:3" ht="13.2">
      <c r="A48" s="25" t="s">
        <v>91</v>
      </c>
    </row>
    <row r="50" spans="1:12" ht="13.2">
      <c r="A50" s="25" t="s">
        <v>925</v>
      </c>
    </row>
    <row r="51" spans="1:12" ht="13.2">
      <c r="A51" s="25" t="s">
        <v>92</v>
      </c>
    </row>
    <row r="52" spans="1:12" ht="13.2">
      <c r="A52" s="25" t="s">
        <v>93</v>
      </c>
    </row>
    <row r="53" spans="1:12" ht="13.2">
      <c r="A53" s="25" t="s">
        <v>94</v>
      </c>
    </row>
    <row r="55" spans="1:12" ht="13.2">
      <c r="A55" s="25" t="s">
        <v>932</v>
      </c>
    </row>
    <row r="56" spans="1:12" ht="13.2">
      <c r="A56" s="25" t="s">
        <v>95</v>
      </c>
    </row>
    <row r="57" spans="1:12" ht="13.2">
      <c r="A57" s="25" t="s">
        <v>96</v>
      </c>
    </row>
    <row r="58" spans="1:12" ht="13.2">
      <c r="A58" s="25" t="s">
        <v>969</v>
      </c>
    </row>
    <row r="60" spans="1:12" ht="13.2">
      <c r="A60" s="294" t="s">
        <v>97</v>
      </c>
      <c r="B60" s="294"/>
      <c r="C60" s="294"/>
      <c r="D60" s="294"/>
      <c r="E60" s="294"/>
      <c r="F60" s="294"/>
      <c r="G60" s="294"/>
      <c r="H60" s="294"/>
      <c r="I60" s="294"/>
      <c r="J60" s="294"/>
      <c r="K60" s="294"/>
      <c r="L60" s="294"/>
    </row>
    <row r="62" spans="1:12" ht="13.2">
      <c r="A62" s="42" t="s">
        <v>98</v>
      </c>
    </row>
    <row r="64" spans="1:12" ht="13.2">
      <c r="B64" s="28" t="s">
        <v>99</v>
      </c>
      <c r="C64" s="28"/>
      <c r="D64" s="28"/>
      <c r="E64" s="28"/>
      <c r="F64" s="28"/>
      <c r="G64" s="28"/>
      <c r="H64" s="28"/>
      <c r="I64" s="28"/>
      <c r="J64" s="28"/>
      <c r="K64" s="28"/>
      <c r="L64" s="28"/>
    </row>
    <row r="65" spans="1:12" ht="13.2">
      <c r="B65" s="28" t="s">
        <v>100</v>
      </c>
      <c r="C65" s="28"/>
      <c r="D65" s="28"/>
      <c r="E65" s="28"/>
      <c r="F65" s="28"/>
      <c r="G65" s="28"/>
      <c r="H65" s="28"/>
      <c r="I65" s="28"/>
      <c r="J65" s="28"/>
      <c r="K65" s="28"/>
      <c r="L65" s="28"/>
    </row>
    <row r="66" spans="1:12" ht="13.2">
      <c r="B66" s="28" t="s">
        <v>101</v>
      </c>
      <c r="C66" s="28"/>
      <c r="D66" s="28"/>
      <c r="E66" s="28"/>
      <c r="F66" s="28"/>
      <c r="G66" s="28"/>
      <c r="H66" s="28"/>
      <c r="I66" s="28"/>
      <c r="J66" s="28"/>
      <c r="K66" s="28"/>
      <c r="L66" s="28"/>
    </row>
    <row r="67" spans="1:12" ht="13.2">
      <c r="B67" s="28" t="s">
        <v>102</v>
      </c>
      <c r="C67" s="28"/>
      <c r="D67" s="28"/>
      <c r="E67" s="28"/>
      <c r="F67" s="28"/>
      <c r="G67" s="28"/>
      <c r="H67" s="28"/>
      <c r="I67" s="28"/>
      <c r="J67" s="28"/>
      <c r="K67" s="28"/>
      <c r="L67" s="28"/>
    </row>
    <row r="68" spans="1:12" ht="13.2">
      <c r="B68" s="28" t="s">
        <v>103</v>
      </c>
      <c r="C68" s="28"/>
      <c r="D68" s="28"/>
      <c r="E68" s="28"/>
      <c r="F68" s="28"/>
      <c r="G68" s="28"/>
      <c r="H68" s="28"/>
      <c r="I68" s="28"/>
      <c r="J68" s="28"/>
      <c r="K68" s="28"/>
      <c r="L68" s="28"/>
    </row>
    <row r="69" spans="1:12" ht="13.2">
      <c r="B69" s="28" t="s">
        <v>104</v>
      </c>
      <c r="C69" s="28"/>
      <c r="D69" s="28"/>
      <c r="E69" s="28"/>
      <c r="F69" s="28"/>
      <c r="G69" s="28"/>
      <c r="H69" s="28"/>
      <c r="I69" s="28"/>
      <c r="J69" s="28"/>
      <c r="K69" s="28"/>
      <c r="L69" s="28"/>
    </row>
    <row r="71" spans="1:12" ht="13.2">
      <c r="A71" s="42" t="s">
        <v>105</v>
      </c>
    </row>
    <row r="73" spans="1:12" ht="13.2">
      <c r="A73" s="25" t="s">
        <v>106</v>
      </c>
    </row>
    <row r="75" spans="1:12" ht="13.2">
      <c r="B75" s="28" t="s">
        <v>107</v>
      </c>
      <c r="C75" s="28"/>
      <c r="D75" s="28"/>
      <c r="E75" s="28"/>
      <c r="F75" s="28"/>
      <c r="G75" s="28"/>
      <c r="H75" s="28"/>
      <c r="I75" s="28"/>
      <c r="J75" s="28"/>
      <c r="K75" s="28"/>
      <c r="L75" s="28"/>
    </row>
    <row r="76" spans="1:12" ht="13.2">
      <c r="B76" s="28" t="s">
        <v>108</v>
      </c>
      <c r="C76" s="28"/>
      <c r="D76" s="28"/>
      <c r="E76" s="28"/>
      <c r="F76" s="28"/>
      <c r="G76" s="28"/>
      <c r="H76" s="28"/>
      <c r="I76" s="28"/>
      <c r="J76" s="28"/>
      <c r="K76" s="28"/>
      <c r="L76" s="28"/>
    </row>
    <row r="77" spans="1:12" ht="13.2">
      <c r="B77" s="28" t="s">
        <v>109</v>
      </c>
      <c r="C77" s="28"/>
      <c r="D77" s="28"/>
      <c r="E77" s="28"/>
      <c r="F77" s="28"/>
      <c r="G77" s="28"/>
      <c r="H77" s="28"/>
      <c r="I77" s="28"/>
      <c r="J77" s="28"/>
      <c r="K77" s="28"/>
      <c r="L77" s="28"/>
    </row>
    <row r="78" spans="1:12" ht="13.2">
      <c r="B78" s="28" t="s">
        <v>110</v>
      </c>
      <c r="C78" s="28"/>
      <c r="D78" s="28"/>
      <c r="E78" s="28"/>
      <c r="F78" s="28"/>
      <c r="G78" s="28"/>
      <c r="H78" s="28"/>
      <c r="I78" s="28"/>
      <c r="J78" s="28"/>
      <c r="K78" s="28"/>
      <c r="L78" s="28"/>
    </row>
    <row r="79" spans="1:12" ht="13.2">
      <c r="B79" s="28" t="s">
        <v>111</v>
      </c>
      <c r="C79" s="28"/>
      <c r="D79" s="28"/>
      <c r="E79" s="28"/>
      <c r="F79" s="28"/>
      <c r="G79" s="28"/>
      <c r="H79" s="28"/>
      <c r="I79" s="28"/>
      <c r="J79" s="28"/>
      <c r="K79" s="28"/>
      <c r="L79" s="28"/>
    </row>
    <row r="80" spans="1:12" ht="13.2">
      <c r="B80" s="28" t="s">
        <v>112</v>
      </c>
      <c r="C80" s="28"/>
      <c r="D80" s="28"/>
      <c r="E80" s="28"/>
      <c r="F80" s="28"/>
      <c r="G80" s="28"/>
      <c r="H80" s="28"/>
      <c r="I80" s="28"/>
      <c r="J80" s="28"/>
      <c r="K80" s="28"/>
      <c r="L80" s="28"/>
    </row>
    <row r="81" spans="1:12" ht="13.2">
      <c r="B81" s="28" t="s">
        <v>113</v>
      </c>
      <c r="C81" s="28"/>
      <c r="D81" s="28"/>
      <c r="E81" s="28"/>
      <c r="F81" s="28"/>
      <c r="G81" s="28"/>
      <c r="H81" s="28"/>
      <c r="I81" s="28"/>
      <c r="J81" s="28"/>
      <c r="K81" s="28"/>
      <c r="L81" s="28"/>
    </row>
    <row r="82" spans="1:12" ht="13.2">
      <c r="B82" s="28" t="s">
        <v>114</v>
      </c>
      <c r="C82" s="28"/>
      <c r="D82" s="28"/>
      <c r="E82" s="28"/>
      <c r="F82" s="28"/>
      <c r="G82" s="28"/>
      <c r="H82" s="28"/>
      <c r="I82" s="28"/>
      <c r="J82" s="28"/>
      <c r="K82" s="28"/>
      <c r="L82" s="28"/>
    </row>
    <row r="84" spans="1:12" ht="13.2">
      <c r="A84" s="42" t="s">
        <v>115</v>
      </c>
    </row>
    <row r="86" spans="1:12" ht="13.2">
      <c r="B86" s="28" t="s">
        <v>116</v>
      </c>
      <c r="C86" s="28"/>
      <c r="D86" s="28"/>
      <c r="E86" s="28"/>
      <c r="F86" s="28"/>
      <c r="G86" s="28"/>
      <c r="H86" s="28"/>
      <c r="I86" s="28"/>
      <c r="J86" s="28"/>
      <c r="K86" s="28"/>
      <c r="L86" s="28"/>
    </row>
    <row r="87" spans="1:12" ht="13.2">
      <c r="B87" s="28" t="s">
        <v>117</v>
      </c>
      <c r="C87" s="28"/>
      <c r="D87" s="28"/>
      <c r="E87" s="28"/>
      <c r="F87" s="28"/>
      <c r="G87" s="28"/>
      <c r="H87" s="28"/>
      <c r="I87" s="28"/>
      <c r="J87" s="28"/>
      <c r="K87" s="28"/>
      <c r="L87" s="28"/>
    </row>
    <row r="88" spans="1:12" ht="13.2">
      <c r="B88" s="28" t="s">
        <v>118</v>
      </c>
      <c r="C88" s="28"/>
      <c r="D88" s="28"/>
      <c r="E88" s="28"/>
      <c r="F88" s="28"/>
      <c r="G88" s="28"/>
      <c r="H88" s="28"/>
      <c r="I88" s="28"/>
      <c r="J88" s="28"/>
      <c r="K88" s="28"/>
      <c r="L88" s="28"/>
    </row>
    <row r="89" spans="1:12" ht="13.2">
      <c r="A89" s="25"/>
    </row>
    <row r="90" spans="1:12" ht="13.2">
      <c r="A90" s="25" t="s">
        <v>945</v>
      </c>
    </row>
    <row r="91" spans="1:12" ht="13.2">
      <c r="A91" s="25" t="s">
        <v>119</v>
      </c>
    </row>
    <row r="93" spans="1:12" ht="13.2">
      <c r="A93" s="42" t="s">
        <v>120</v>
      </c>
    </row>
    <row r="95" spans="1:12" ht="13.2">
      <c r="A95" s="25" t="s">
        <v>946</v>
      </c>
    </row>
    <row r="96" spans="1:12" ht="13.2">
      <c r="B96" s="25"/>
    </row>
    <row r="97" spans="1:12" ht="13.2">
      <c r="B97" s="28" t="s">
        <v>121</v>
      </c>
      <c r="C97" s="28"/>
      <c r="D97" s="28"/>
      <c r="E97" s="28"/>
      <c r="F97" s="28"/>
      <c r="G97" s="28"/>
      <c r="H97" s="28"/>
      <c r="I97" s="28"/>
      <c r="J97" s="28"/>
      <c r="K97" s="28"/>
      <c r="L97" s="28"/>
    </row>
    <row r="98" spans="1:12" ht="13.2">
      <c r="B98" s="28" t="s">
        <v>122</v>
      </c>
      <c r="C98" s="28"/>
      <c r="D98" s="28"/>
      <c r="E98" s="28"/>
      <c r="F98" s="28"/>
      <c r="G98" s="28"/>
      <c r="H98" s="28"/>
      <c r="I98" s="28"/>
      <c r="J98" s="28"/>
      <c r="K98" s="28"/>
      <c r="L98" s="28"/>
    </row>
    <row r="99" spans="1:12" ht="13.2">
      <c r="B99" s="28" t="s">
        <v>123</v>
      </c>
      <c r="C99" s="28"/>
      <c r="D99" s="28"/>
      <c r="E99" s="28"/>
      <c r="F99" s="28"/>
      <c r="G99" s="28"/>
      <c r="H99" s="28"/>
      <c r="I99" s="28"/>
      <c r="J99" s="28"/>
      <c r="K99" s="28"/>
      <c r="L99" s="28"/>
    </row>
    <row r="101" spans="1:12" ht="13.2">
      <c r="A101" s="25" t="s">
        <v>947</v>
      </c>
    </row>
    <row r="102" spans="1:12" ht="13.2">
      <c r="A102" s="25" t="s">
        <v>948</v>
      </c>
    </row>
    <row r="104" spans="1:12" ht="13.2">
      <c r="A104" s="42" t="s">
        <v>124</v>
      </c>
    </row>
    <row r="106" spans="1:12" ht="13.2">
      <c r="A106" s="25" t="s">
        <v>125</v>
      </c>
    </row>
    <row r="107" spans="1:12" ht="13.2">
      <c r="A107" s="25" t="s">
        <v>949</v>
      </c>
    </row>
    <row r="108" spans="1:12" ht="13.2">
      <c r="A108" s="25" t="s">
        <v>126</v>
      </c>
    </row>
    <row r="110" spans="1:12" ht="13.2">
      <c r="A110" s="42" t="s">
        <v>127</v>
      </c>
    </row>
    <row r="112" spans="1:12" ht="13.2">
      <c r="A112" s="25" t="s">
        <v>943</v>
      </c>
    </row>
    <row r="113" spans="1:12" ht="13.2">
      <c r="A113" s="25" t="s">
        <v>944</v>
      </c>
    </row>
    <row r="114" spans="1:12" ht="13.2">
      <c r="A114" s="25" t="s">
        <v>942</v>
      </c>
    </row>
    <row r="116" spans="1:12" ht="13.2">
      <c r="A116" s="42" t="s">
        <v>128</v>
      </c>
    </row>
    <row r="118" spans="1:12" ht="13.2">
      <c r="A118" s="25" t="s">
        <v>129</v>
      </c>
    </row>
    <row r="119" spans="1:12" ht="13.2">
      <c r="A119" s="25" t="s">
        <v>130</v>
      </c>
    </row>
    <row r="120" spans="1:12" ht="13.2">
      <c r="A120" s="25" t="s">
        <v>939</v>
      </c>
    </row>
    <row r="121" spans="1:12" ht="13.2">
      <c r="A121" s="25" t="s">
        <v>940</v>
      </c>
    </row>
    <row r="122" spans="1:12" ht="13.2">
      <c r="A122" s="25" t="s">
        <v>941</v>
      </c>
    </row>
    <row r="124" spans="1:12" ht="13.2">
      <c r="A124" s="294" t="s">
        <v>131</v>
      </c>
      <c r="B124" s="294"/>
      <c r="C124" s="294"/>
      <c r="D124" s="294"/>
      <c r="E124" s="294"/>
      <c r="F124" s="294"/>
      <c r="G124" s="294"/>
      <c r="H124" s="294"/>
      <c r="I124" s="294"/>
      <c r="J124" s="294"/>
      <c r="K124" s="294"/>
      <c r="L124" s="294"/>
    </row>
    <row r="126" spans="1:12" ht="13.2">
      <c r="A126" s="25" t="s">
        <v>132</v>
      </c>
    </row>
    <row r="128" spans="1:12" ht="13.2">
      <c r="B128" s="295" t="s">
        <v>133</v>
      </c>
      <c r="C128" s="295"/>
      <c r="D128" s="295"/>
      <c r="E128" s="295"/>
      <c r="F128" s="295"/>
      <c r="G128" s="295"/>
      <c r="H128" s="295"/>
    </row>
    <row r="129" spans="1:8" ht="13.2">
      <c r="B129" s="295" t="s">
        <v>144</v>
      </c>
      <c r="C129" s="295"/>
      <c r="D129" s="295"/>
      <c r="E129" s="295"/>
      <c r="F129" s="295"/>
      <c r="G129" s="295"/>
      <c r="H129" s="295"/>
    </row>
    <row r="130" spans="1:8" ht="13.2">
      <c r="B130" s="295" t="s">
        <v>933</v>
      </c>
      <c r="C130" s="295"/>
      <c r="D130" s="295"/>
      <c r="E130" s="295"/>
      <c r="F130" s="295"/>
      <c r="G130" s="295"/>
      <c r="H130" s="295"/>
    </row>
    <row r="131" spans="1:8" ht="13.2">
      <c r="B131" s="295" t="s">
        <v>149</v>
      </c>
      <c r="C131" s="295"/>
      <c r="D131" s="295"/>
      <c r="E131" s="295"/>
      <c r="F131" s="295"/>
      <c r="G131" s="295"/>
      <c r="H131" s="295"/>
    </row>
    <row r="133" spans="1:8" ht="13.2">
      <c r="A133" s="42" t="s">
        <v>133</v>
      </c>
    </row>
    <row r="135" spans="1:8" ht="13.2">
      <c r="A135" s="25" t="s">
        <v>938</v>
      </c>
    </row>
    <row r="136" spans="1:8" ht="13.2">
      <c r="A136" s="25" t="s">
        <v>134</v>
      </c>
    </row>
    <row r="137" spans="1:8" ht="13.2">
      <c r="A137" s="25" t="s">
        <v>135</v>
      </c>
    </row>
    <row r="138" spans="1:8" ht="13.2">
      <c r="B138" s="25"/>
    </row>
    <row r="139" spans="1:8" ht="13.2">
      <c r="B139" s="295" t="s">
        <v>136</v>
      </c>
      <c r="C139" s="295"/>
      <c r="D139" s="295"/>
      <c r="E139" s="295"/>
      <c r="F139" s="295"/>
      <c r="G139" s="295"/>
      <c r="H139" s="295"/>
    </row>
    <row r="140" spans="1:8" ht="13.2">
      <c r="B140" s="295" t="s">
        <v>137</v>
      </c>
      <c r="C140" s="295"/>
      <c r="D140" s="295"/>
      <c r="E140" s="295"/>
      <c r="F140" s="295"/>
      <c r="G140" s="295"/>
      <c r="H140" s="295"/>
    </row>
    <row r="141" spans="1:8" ht="13.2">
      <c r="B141" s="295" t="s">
        <v>138</v>
      </c>
      <c r="C141" s="295"/>
      <c r="D141" s="295"/>
      <c r="E141" s="295"/>
      <c r="F141" s="295"/>
      <c r="G141" s="295"/>
      <c r="H141" s="295"/>
    </row>
    <row r="143" spans="1:8" ht="13.2">
      <c r="A143" s="25" t="s">
        <v>934</v>
      </c>
    </row>
    <row r="145" spans="1:8" ht="13.2">
      <c r="B145" s="295" t="s">
        <v>139</v>
      </c>
      <c r="C145" s="295"/>
      <c r="D145" s="295"/>
      <c r="E145" s="295"/>
      <c r="F145" s="295"/>
      <c r="G145" s="295"/>
      <c r="H145" s="295"/>
    </row>
    <row r="146" spans="1:8" ht="13.2">
      <c r="B146" s="295" t="s">
        <v>140</v>
      </c>
      <c r="C146" s="295"/>
      <c r="D146" s="295"/>
      <c r="E146" s="295"/>
      <c r="F146" s="295"/>
      <c r="G146" s="295"/>
      <c r="H146" s="295"/>
    </row>
    <row r="147" spans="1:8" ht="13.2">
      <c r="B147" s="295" t="s">
        <v>141</v>
      </c>
      <c r="C147" s="295"/>
      <c r="D147" s="295"/>
      <c r="E147" s="295"/>
      <c r="F147" s="295"/>
      <c r="G147" s="295"/>
      <c r="H147" s="295"/>
    </row>
    <row r="148" spans="1:8" ht="13.2">
      <c r="B148" s="295" t="s">
        <v>142</v>
      </c>
      <c r="C148" s="295"/>
      <c r="D148" s="295"/>
      <c r="E148" s="295"/>
      <c r="F148" s="295"/>
      <c r="G148" s="295"/>
      <c r="H148" s="295"/>
    </row>
    <row r="149" spans="1:8" ht="13.2">
      <c r="B149" s="295" t="s">
        <v>143</v>
      </c>
      <c r="C149" s="295"/>
      <c r="D149" s="295"/>
      <c r="E149" s="295"/>
      <c r="F149" s="295"/>
      <c r="G149" s="295"/>
      <c r="H149" s="295"/>
    </row>
    <row r="151" spans="1:8" ht="13.2">
      <c r="A151" s="42" t="s">
        <v>144</v>
      </c>
    </row>
    <row r="153" spans="1:8" ht="13.2">
      <c r="A153" s="25" t="s">
        <v>937</v>
      </c>
    </row>
    <row r="154" spans="1:8" ht="13.2">
      <c r="A154" s="25" t="s">
        <v>145</v>
      </c>
    </row>
    <row r="156" spans="1:8" ht="13.2">
      <c r="B156" s="28" t="s">
        <v>935</v>
      </c>
      <c r="C156" s="28"/>
      <c r="D156" s="28"/>
      <c r="E156" s="28"/>
      <c r="F156" s="28"/>
      <c r="G156" s="28"/>
      <c r="H156" s="28"/>
    </row>
    <row r="157" spans="1:8" ht="13.2">
      <c r="B157" s="28" t="s">
        <v>936</v>
      </c>
      <c r="C157" s="28"/>
      <c r="D157" s="28"/>
      <c r="E157" s="28"/>
      <c r="F157" s="28"/>
      <c r="G157" s="28"/>
      <c r="H157" s="28"/>
    </row>
    <row r="158" spans="1:8" ht="13.2">
      <c r="B158" s="28" t="s">
        <v>146</v>
      </c>
      <c r="C158" s="28"/>
      <c r="D158" s="28"/>
      <c r="E158" s="28"/>
      <c r="F158" s="28"/>
      <c r="G158" s="28"/>
      <c r="H158" s="28"/>
    </row>
    <row r="160" spans="1:8" ht="13.2">
      <c r="A160" s="42" t="s">
        <v>147</v>
      </c>
    </row>
    <row r="162" spans="1:12" ht="13.2">
      <c r="A162" s="25" t="s">
        <v>950</v>
      </c>
    </row>
    <row r="163" spans="1:12" ht="13.2">
      <c r="A163" s="25" t="s">
        <v>951</v>
      </c>
    </row>
    <row r="164" spans="1:12" ht="13.2">
      <c r="A164" s="25" t="s">
        <v>952</v>
      </c>
    </row>
    <row r="165" spans="1:12" ht="13.2">
      <c r="A165" s="25" t="s">
        <v>953</v>
      </c>
    </row>
    <row r="166" spans="1:12" ht="13.2">
      <c r="A166" s="25" t="s">
        <v>148</v>
      </c>
    </row>
    <row r="168" spans="1:12" ht="13.2">
      <c r="A168" s="42" t="s">
        <v>149</v>
      </c>
    </row>
    <row r="170" spans="1:12" ht="13.2">
      <c r="A170" s="25" t="s">
        <v>150</v>
      </c>
    </row>
    <row r="171" spans="1:12" ht="13.2">
      <c r="A171" s="25" t="s">
        <v>151</v>
      </c>
    </row>
    <row r="172" spans="1:12" ht="13.2">
      <c r="A172" s="25" t="s">
        <v>152</v>
      </c>
    </row>
    <row r="174" spans="1:12" ht="13.2">
      <c r="A174" s="294" t="s">
        <v>153</v>
      </c>
      <c r="B174" s="294"/>
      <c r="C174" s="294"/>
      <c r="D174" s="294"/>
      <c r="E174" s="294"/>
      <c r="F174" s="294"/>
      <c r="G174" s="294"/>
      <c r="H174" s="294"/>
      <c r="I174" s="294"/>
      <c r="J174" s="294"/>
      <c r="K174" s="294"/>
      <c r="L174" s="294"/>
    </row>
    <row r="176" spans="1:12" ht="13.2">
      <c r="A176" s="25" t="s">
        <v>154</v>
      </c>
    </row>
    <row r="178" spans="1:12" ht="13.2">
      <c r="B178" s="295" t="s">
        <v>155</v>
      </c>
      <c r="C178" s="295"/>
      <c r="D178" s="295"/>
      <c r="E178" s="295"/>
      <c r="F178" s="295"/>
      <c r="G178" s="295"/>
      <c r="H178" s="295"/>
      <c r="I178" s="295"/>
      <c r="J178" s="295"/>
      <c r="K178" s="295"/>
      <c r="L178" s="295"/>
    </row>
    <row r="179" spans="1:12" ht="13.2">
      <c r="B179" s="295" t="s">
        <v>156</v>
      </c>
      <c r="C179" s="295"/>
      <c r="D179" s="295"/>
      <c r="E179" s="295"/>
      <c r="F179" s="295"/>
      <c r="G179" s="295"/>
      <c r="H179" s="295"/>
      <c r="I179" s="295"/>
      <c r="J179" s="295"/>
      <c r="K179" s="295"/>
      <c r="L179" s="295"/>
    </row>
    <row r="180" spans="1:12" ht="13.2">
      <c r="B180" s="295" t="s">
        <v>157</v>
      </c>
      <c r="C180" s="295"/>
      <c r="D180" s="295"/>
      <c r="E180" s="295"/>
      <c r="F180" s="295"/>
      <c r="G180" s="295"/>
      <c r="H180" s="295"/>
      <c r="I180" s="295"/>
      <c r="J180" s="295"/>
      <c r="K180" s="295"/>
      <c r="L180" s="295"/>
    </row>
    <row r="181" spans="1:12" ht="13.2">
      <c r="B181" s="295" t="s">
        <v>158</v>
      </c>
      <c r="C181" s="295"/>
      <c r="D181" s="295"/>
      <c r="E181" s="295"/>
      <c r="F181" s="295"/>
      <c r="G181" s="295"/>
      <c r="H181" s="295"/>
      <c r="I181" s="295"/>
      <c r="J181" s="295"/>
      <c r="K181" s="295"/>
      <c r="L181" s="295"/>
    </row>
    <row r="182" spans="1:12" ht="13.2">
      <c r="B182" s="295" t="s">
        <v>159</v>
      </c>
      <c r="C182" s="295"/>
      <c r="D182" s="295"/>
      <c r="E182" s="295"/>
      <c r="F182" s="295"/>
      <c r="G182" s="295"/>
      <c r="H182" s="295"/>
      <c r="I182" s="295"/>
      <c r="J182" s="295"/>
      <c r="K182" s="295"/>
      <c r="L182" s="295"/>
    </row>
    <row r="184" spans="1:12" ht="13.2">
      <c r="A184" s="42" t="s">
        <v>155</v>
      </c>
    </row>
    <row r="185" spans="1:12" ht="13.2">
      <c r="A185" s="25"/>
    </row>
    <row r="186" spans="1:12" ht="13.2">
      <c r="A186" s="25" t="s">
        <v>160</v>
      </c>
    </row>
    <row r="187" spans="1:12" ht="13.2">
      <c r="A187" s="25" t="s">
        <v>954</v>
      </c>
    </row>
    <row r="189" spans="1:12" ht="13.2">
      <c r="B189" s="295" t="s">
        <v>161</v>
      </c>
      <c r="C189" s="295"/>
      <c r="D189" s="295"/>
      <c r="E189" s="295"/>
      <c r="F189" s="295"/>
      <c r="G189" s="295"/>
      <c r="H189" s="295"/>
      <c r="I189" s="295"/>
      <c r="J189" s="295"/>
      <c r="K189" s="295"/>
      <c r="L189" s="295"/>
    </row>
    <row r="190" spans="1:12" ht="13.2">
      <c r="B190" s="295" t="s">
        <v>162</v>
      </c>
      <c r="C190" s="295"/>
      <c r="D190" s="295"/>
      <c r="E190" s="295"/>
      <c r="F190" s="295"/>
      <c r="G190" s="295"/>
      <c r="H190" s="295"/>
      <c r="I190" s="295"/>
      <c r="J190" s="295"/>
      <c r="K190" s="295"/>
      <c r="L190" s="295"/>
    </row>
    <row r="192" spans="1:12" ht="13.2">
      <c r="A192" s="25" t="s">
        <v>163</v>
      </c>
    </row>
    <row r="194" spans="1:12" ht="13.2">
      <c r="B194" s="295" t="s">
        <v>164</v>
      </c>
      <c r="C194" s="295"/>
      <c r="D194" s="295"/>
      <c r="E194" s="295"/>
      <c r="F194" s="295"/>
      <c r="G194" s="295"/>
      <c r="H194" s="295"/>
      <c r="I194" s="295"/>
      <c r="J194" s="295"/>
      <c r="K194" s="295"/>
      <c r="L194" s="295"/>
    </row>
    <row r="195" spans="1:12" ht="13.2">
      <c r="B195" s="295" t="s">
        <v>165</v>
      </c>
      <c r="C195" s="295"/>
      <c r="D195" s="295"/>
      <c r="E195" s="295"/>
      <c r="F195" s="295"/>
      <c r="G195" s="295"/>
      <c r="H195" s="295"/>
      <c r="I195" s="295"/>
      <c r="J195" s="295"/>
      <c r="K195" s="295"/>
      <c r="L195" s="295"/>
    </row>
    <row r="196" spans="1:12" ht="13.2">
      <c r="B196" s="295" t="s">
        <v>166</v>
      </c>
      <c r="C196" s="295"/>
      <c r="D196" s="295"/>
      <c r="E196" s="295"/>
      <c r="F196" s="295"/>
      <c r="G196" s="295"/>
      <c r="H196" s="295"/>
      <c r="I196" s="295"/>
      <c r="J196" s="295"/>
      <c r="K196" s="295"/>
      <c r="L196" s="295"/>
    </row>
    <row r="198" spans="1:12" ht="13.2">
      <c r="A198" s="25" t="s">
        <v>167</v>
      </c>
    </row>
    <row r="200" spans="1:12" ht="13.2">
      <c r="A200" s="42" t="s">
        <v>156</v>
      </c>
    </row>
    <row r="201" spans="1:12" ht="13.2">
      <c r="A201" s="42"/>
    </row>
    <row r="202" spans="1:12" ht="13.2">
      <c r="A202" s="25" t="s">
        <v>961</v>
      </c>
    </row>
    <row r="203" spans="1:12" ht="13.2">
      <c r="A203" s="25" t="s">
        <v>962</v>
      </c>
    </row>
    <row r="204" spans="1:12" ht="13.2">
      <c r="A204" s="25" t="s">
        <v>168</v>
      </c>
    </row>
    <row r="206" spans="1:12" ht="13.2">
      <c r="B206" s="295" t="s">
        <v>169</v>
      </c>
      <c r="C206" s="295"/>
      <c r="D206" s="295"/>
      <c r="E206" s="295"/>
      <c r="F206" s="295"/>
      <c r="G206" s="295"/>
      <c r="H206" s="295"/>
      <c r="I206" s="295"/>
      <c r="J206" s="295"/>
      <c r="K206" s="295"/>
      <c r="L206" s="295"/>
    </row>
    <row r="207" spans="1:12" ht="13.2">
      <c r="B207" s="295" t="s">
        <v>170</v>
      </c>
      <c r="C207" s="295"/>
      <c r="D207" s="295"/>
      <c r="E207" s="295"/>
      <c r="F207" s="295"/>
      <c r="G207" s="295"/>
      <c r="H207" s="295"/>
      <c r="I207" s="295"/>
      <c r="J207" s="295"/>
      <c r="K207" s="295"/>
      <c r="L207" s="295"/>
    </row>
    <row r="209" spans="1:2" ht="13.2">
      <c r="A209" s="25" t="s">
        <v>171</v>
      </c>
    </row>
    <row r="210" spans="1:2" ht="13.2">
      <c r="A210" s="25" t="s">
        <v>172</v>
      </c>
    </row>
    <row r="212" spans="1:2" ht="13.2">
      <c r="A212" s="42" t="s">
        <v>158</v>
      </c>
    </row>
    <row r="214" spans="1:2" ht="13.2">
      <c r="A214" s="25" t="s">
        <v>955</v>
      </c>
    </row>
    <row r="215" spans="1:2" ht="13.2">
      <c r="A215" s="25" t="s">
        <v>956</v>
      </c>
    </row>
    <row r="217" spans="1:2" ht="13.2">
      <c r="A217" s="42" t="s">
        <v>159</v>
      </c>
    </row>
    <row r="219" spans="1:2" ht="13.2">
      <c r="A219" s="25" t="s">
        <v>957</v>
      </c>
    </row>
    <row r="220" spans="1:2" ht="13.2">
      <c r="A220" s="25" t="s">
        <v>173</v>
      </c>
    </row>
    <row r="221" spans="1:2" ht="15.75" customHeight="1">
      <c r="A221" s="26" t="s">
        <v>174</v>
      </c>
    </row>
    <row r="223" spans="1:2" ht="13.2">
      <c r="A223" s="26" t="s">
        <v>958</v>
      </c>
      <c r="B223" s="25"/>
    </row>
    <row r="224" spans="1:2" ht="15.75" customHeight="1">
      <c r="A224" s="26" t="s">
        <v>960</v>
      </c>
    </row>
    <row r="225" spans="1:12" ht="15.75" customHeight="1">
      <c r="A225" s="26"/>
    </row>
    <row r="226" spans="1:12" ht="15.75" customHeight="1">
      <c r="B226" s="295" t="s">
        <v>175</v>
      </c>
      <c r="C226" s="295"/>
      <c r="D226" s="295"/>
      <c r="E226" s="295"/>
      <c r="F226" s="295"/>
      <c r="G226" s="295"/>
      <c r="H226" s="295"/>
      <c r="I226" s="295"/>
      <c r="J226" s="295"/>
      <c r="K226" s="295"/>
      <c r="L226" s="295"/>
    </row>
    <row r="227" spans="1:12" ht="15.75" customHeight="1">
      <c r="B227" s="295" t="s">
        <v>959</v>
      </c>
      <c r="C227" s="295"/>
      <c r="D227" s="295"/>
      <c r="E227" s="295"/>
      <c r="F227" s="295"/>
      <c r="G227" s="295"/>
      <c r="H227" s="295"/>
      <c r="I227" s="295"/>
      <c r="J227" s="295"/>
      <c r="K227" s="295"/>
      <c r="L227" s="295"/>
    </row>
    <row r="241" spans="2:2" ht="15.75" customHeight="1">
      <c r="B241" s="26"/>
    </row>
  </sheetData>
  <mergeCells count="30">
    <mergeCell ref="B207:L207"/>
    <mergeCell ref="B226:L226"/>
    <mergeCell ref="B227:L227"/>
    <mergeCell ref="B189:L189"/>
    <mergeCell ref="B190:L190"/>
    <mergeCell ref="B194:L194"/>
    <mergeCell ref="B195:L195"/>
    <mergeCell ref="B196:L196"/>
    <mergeCell ref="B206:L206"/>
    <mergeCell ref="B178:L178"/>
    <mergeCell ref="B179:L179"/>
    <mergeCell ref="B180:L180"/>
    <mergeCell ref="B181:L181"/>
    <mergeCell ref="B182:L182"/>
    <mergeCell ref="B145:H145"/>
    <mergeCell ref="B146:H146"/>
    <mergeCell ref="B147:H147"/>
    <mergeCell ref="B148:H148"/>
    <mergeCell ref="B149:H149"/>
    <mergeCell ref="B128:H128"/>
    <mergeCell ref="B129:H129"/>
    <mergeCell ref="B130:H130"/>
    <mergeCell ref="B131:H131"/>
    <mergeCell ref="B139:H139"/>
    <mergeCell ref="B140:H140"/>
    <mergeCell ref="B141:H141"/>
    <mergeCell ref="A20:L20"/>
    <mergeCell ref="A60:L60"/>
    <mergeCell ref="A124:L124"/>
    <mergeCell ref="A174:L17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46BEF-968C-44D0-99F2-1BD22727F41B}">
  <dimension ref="A10:L73"/>
  <sheetViews>
    <sheetView workbookViewId="0">
      <selection activeCell="D67" sqref="D67"/>
    </sheetView>
  </sheetViews>
  <sheetFormatPr defaultRowHeight="13.2"/>
  <cols>
    <col min="1" max="1" width="28.109375" customWidth="1"/>
    <col min="2" max="4" width="24.44140625" customWidth="1"/>
  </cols>
  <sheetData>
    <row r="10" spans="1:1">
      <c r="A10" s="10" t="s">
        <v>226</v>
      </c>
    </row>
    <row r="11" spans="1:1">
      <c r="A11" s="10" t="s">
        <v>227</v>
      </c>
    </row>
    <row r="12" spans="1:1">
      <c r="A12" s="10" t="s">
        <v>963</v>
      </c>
    </row>
    <row r="14" spans="1:1">
      <c r="A14" s="10" t="s">
        <v>964</v>
      </c>
    </row>
    <row r="15" spans="1:1">
      <c r="A15" s="10" t="s">
        <v>965</v>
      </c>
    </row>
    <row r="16" spans="1:1">
      <c r="A16" s="10" t="s">
        <v>966</v>
      </c>
    </row>
    <row r="18" spans="1:12">
      <c r="A18" s="10" t="s">
        <v>958</v>
      </c>
      <c r="B18" s="2"/>
    </row>
    <row r="19" spans="1:12">
      <c r="A19" s="10" t="s">
        <v>960</v>
      </c>
    </row>
    <row r="20" spans="1:12">
      <c r="A20" s="10"/>
    </row>
    <row r="21" spans="1:12">
      <c r="B21" s="263" t="s">
        <v>175</v>
      </c>
      <c r="C21" s="263"/>
      <c r="D21" s="263"/>
      <c r="E21" s="263"/>
      <c r="F21" s="263"/>
      <c r="G21" s="263"/>
      <c r="H21" s="263"/>
      <c r="I21" s="263"/>
      <c r="J21" s="263"/>
      <c r="K21" s="263"/>
      <c r="L21" s="263"/>
    </row>
    <row r="22" spans="1:12">
      <c r="B22" s="263" t="s">
        <v>176</v>
      </c>
      <c r="C22" s="263"/>
      <c r="D22" s="263"/>
      <c r="E22" s="263"/>
      <c r="F22" s="263"/>
      <c r="G22" s="263"/>
      <c r="H22" s="263"/>
      <c r="I22" s="263"/>
      <c r="J22" s="263"/>
      <c r="K22" s="263"/>
      <c r="L22" s="263"/>
    </row>
    <row r="24" spans="1:12">
      <c r="A24" s="10" t="s">
        <v>967</v>
      </c>
    </row>
    <row r="26" spans="1:12">
      <c r="A26" s="15"/>
      <c r="B26" s="16" t="s">
        <v>228</v>
      </c>
      <c r="C26" s="16"/>
      <c r="D26" s="15"/>
      <c r="E26" s="15"/>
      <c r="F26" s="15"/>
      <c r="G26" s="16" t="s">
        <v>229</v>
      </c>
      <c r="H26" s="16"/>
      <c r="I26" s="16"/>
      <c r="J26" s="16"/>
      <c r="K26" s="16"/>
    </row>
    <row r="27" spans="1:12">
      <c r="B27" s="247"/>
      <c r="C27" s="247"/>
      <c r="G27" s="247"/>
      <c r="H27" s="247"/>
      <c r="I27" s="247"/>
      <c r="J27" s="247"/>
      <c r="K27" s="247"/>
    </row>
    <row r="28" spans="1:12">
      <c r="B28" s="296" t="s">
        <v>230</v>
      </c>
      <c r="C28" s="296"/>
      <c r="G28" s="296" t="s">
        <v>231</v>
      </c>
      <c r="H28" s="296"/>
      <c r="I28" s="296"/>
      <c r="J28" s="296"/>
      <c r="K28" s="296"/>
    </row>
    <row r="29" spans="1:12">
      <c r="B29" s="296" t="s">
        <v>232</v>
      </c>
      <c r="C29" s="296"/>
      <c r="G29" s="296" t="s">
        <v>233</v>
      </c>
      <c r="H29" s="296"/>
      <c r="I29" s="296"/>
      <c r="J29" s="296"/>
      <c r="K29" s="296"/>
    </row>
    <row r="30" spans="1:12">
      <c r="B30" s="296" t="s">
        <v>234</v>
      </c>
      <c r="C30" s="296"/>
      <c r="G30" s="296" t="s">
        <v>235</v>
      </c>
      <c r="H30" s="296"/>
      <c r="I30" s="296"/>
      <c r="J30" s="296"/>
      <c r="K30" s="296"/>
    </row>
    <row r="31" spans="1:12">
      <c r="B31" s="297" t="s">
        <v>236</v>
      </c>
      <c r="C31" s="297"/>
      <c r="G31" s="296" t="s">
        <v>237</v>
      </c>
      <c r="H31" s="296"/>
      <c r="I31" s="296"/>
      <c r="J31" s="296"/>
      <c r="K31" s="296"/>
    </row>
    <row r="32" spans="1:12">
      <c r="B32" s="296" t="s">
        <v>238</v>
      </c>
      <c r="C32" s="296"/>
      <c r="G32" s="297" t="s">
        <v>239</v>
      </c>
      <c r="H32" s="297"/>
      <c r="I32" s="297"/>
      <c r="J32" s="297"/>
      <c r="K32" s="297"/>
    </row>
    <row r="33" spans="1:11">
      <c r="B33" s="297" t="s">
        <v>240</v>
      </c>
      <c r="C33" s="297"/>
      <c r="G33" s="296"/>
      <c r="H33" s="296"/>
      <c r="I33" s="296"/>
      <c r="J33" s="296"/>
      <c r="K33" s="296"/>
    </row>
    <row r="34" spans="1:11">
      <c r="B34" s="296" t="s">
        <v>241</v>
      </c>
      <c r="C34" s="296"/>
      <c r="G34" s="296"/>
      <c r="H34" s="296"/>
      <c r="I34" s="296"/>
      <c r="J34" s="296"/>
      <c r="K34" s="296"/>
    </row>
    <row r="35" spans="1:11">
      <c r="B35" s="297" t="s">
        <v>242</v>
      </c>
      <c r="C35" s="297"/>
      <c r="G35" s="296"/>
      <c r="H35" s="296"/>
      <c r="I35" s="296"/>
      <c r="J35" s="296"/>
      <c r="K35" s="296"/>
    </row>
    <row r="38" spans="1:11">
      <c r="A38" s="11" t="s">
        <v>243</v>
      </c>
    </row>
    <row r="39" spans="1:11">
      <c r="A39" s="11" t="s">
        <v>244</v>
      </c>
    </row>
    <row r="40" spans="1:11">
      <c r="A40" s="12" t="s">
        <v>245</v>
      </c>
    </row>
    <row r="41" spans="1:11">
      <c r="A41" s="10" t="s">
        <v>558</v>
      </c>
    </row>
    <row r="43" spans="1:11">
      <c r="B43" s="13" t="s">
        <v>246</v>
      </c>
      <c r="C43" s="14"/>
    </row>
    <row r="44" spans="1:11">
      <c r="B44" s="10"/>
    </row>
    <row r="45" spans="1:11">
      <c r="B45" s="10" t="s">
        <v>247</v>
      </c>
    </row>
    <row r="46" spans="1:11">
      <c r="B46" s="10" t="s">
        <v>248</v>
      </c>
    </row>
    <row r="48" spans="1:11">
      <c r="A48" s="10" t="s">
        <v>968</v>
      </c>
    </row>
    <row r="49" spans="1:4">
      <c r="A49" s="10" t="s">
        <v>249</v>
      </c>
    </row>
    <row r="50" spans="1:4">
      <c r="A50" s="10" t="s">
        <v>250</v>
      </c>
    </row>
    <row r="51" spans="1:4">
      <c r="A51" s="10" t="s">
        <v>251</v>
      </c>
    </row>
    <row r="52" spans="1:4">
      <c r="A52" s="10" t="s">
        <v>252</v>
      </c>
    </row>
    <row r="54" spans="1:4">
      <c r="B54" s="13" t="s">
        <v>253</v>
      </c>
      <c r="C54" s="14"/>
      <c r="D54" s="14"/>
    </row>
    <row r="56" spans="1:4">
      <c r="A56" s="26" t="s">
        <v>254</v>
      </c>
      <c r="B56" s="24"/>
      <c r="C56" s="24"/>
      <c r="D56" s="24"/>
    </row>
    <row r="57" spans="1:4">
      <c r="A57" s="26"/>
      <c r="B57" s="24"/>
      <c r="C57" s="24"/>
      <c r="D57" s="24"/>
    </row>
    <row r="58" spans="1:4">
      <c r="A58" s="28"/>
      <c r="B58" s="17" t="s">
        <v>255</v>
      </c>
      <c r="C58" s="17" t="s">
        <v>256</v>
      </c>
      <c r="D58" s="17" t="s">
        <v>257</v>
      </c>
    </row>
    <row r="59" spans="1:4">
      <c r="A59" s="27" t="s">
        <v>258</v>
      </c>
      <c r="B59" s="298">
        <v>1000</v>
      </c>
      <c r="C59" s="298">
        <f>B59+B60-B61</f>
        <v>900</v>
      </c>
      <c r="D59" s="298">
        <f>C59+C60-C61</f>
        <v>820</v>
      </c>
    </row>
    <row r="60" spans="1:4">
      <c r="A60" s="27" t="s">
        <v>259</v>
      </c>
      <c r="B60" s="298">
        <v>100</v>
      </c>
      <c r="C60" s="298">
        <v>100</v>
      </c>
      <c r="D60" s="298">
        <v>100</v>
      </c>
    </row>
    <row r="61" spans="1:4">
      <c r="A61" s="27" t="s">
        <v>260</v>
      </c>
      <c r="B61" s="298">
        <f>B59*20%</f>
        <v>200</v>
      </c>
      <c r="C61" s="298">
        <f>C59*20%</f>
        <v>180</v>
      </c>
      <c r="D61" s="298">
        <f>D59*20%</f>
        <v>164</v>
      </c>
    </row>
    <row r="62" spans="1:4">
      <c r="A62" s="27" t="s">
        <v>261</v>
      </c>
      <c r="B62" s="298">
        <f>B59+B60-B61</f>
        <v>900</v>
      </c>
      <c r="C62" s="298">
        <f t="shared" ref="C62:D62" si="0">C59+C60-C61</f>
        <v>820</v>
      </c>
      <c r="D62" s="298">
        <f t="shared" si="0"/>
        <v>756</v>
      </c>
    </row>
    <row r="63" spans="1:4">
      <c r="A63" s="27" t="s">
        <v>262</v>
      </c>
      <c r="B63" s="298">
        <f>(B59+B62)/2</f>
        <v>950</v>
      </c>
      <c r="C63" s="298">
        <f t="shared" ref="C63:D63" si="1">(C59+C62)/2</f>
        <v>860</v>
      </c>
      <c r="D63" s="298">
        <f t="shared" si="1"/>
        <v>788</v>
      </c>
    </row>
    <row r="64" spans="1:4">
      <c r="A64" s="27" t="s">
        <v>263</v>
      </c>
      <c r="B64" s="298">
        <f>25000</f>
        <v>25000</v>
      </c>
      <c r="C64" s="298">
        <v>25000</v>
      </c>
      <c r="D64" s="298">
        <v>25000</v>
      </c>
    </row>
    <row r="65" spans="1:4">
      <c r="A65" s="27" t="s">
        <v>264</v>
      </c>
      <c r="B65" s="298">
        <f>B64*B63</f>
        <v>23750000</v>
      </c>
      <c r="C65" s="298">
        <f t="shared" ref="C65:D65" si="2">C64*C63</f>
        <v>21500000</v>
      </c>
      <c r="D65" s="298">
        <f t="shared" si="2"/>
        <v>19700000</v>
      </c>
    </row>
    <row r="66" spans="1:4">
      <c r="A66" s="27" t="s">
        <v>265</v>
      </c>
      <c r="B66" s="300">
        <v>0.1</v>
      </c>
      <c r="C66" s="300">
        <v>0.1</v>
      </c>
      <c r="D66" s="300">
        <v>0.1</v>
      </c>
    </row>
    <row r="67" spans="1:4">
      <c r="A67" s="27" t="s">
        <v>266</v>
      </c>
      <c r="B67" s="298">
        <f>B65/(1+B66)</f>
        <v>21590909.09090909</v>
      </c>
      <c r="C67" s="298">
        <f>C65/(1+C66)^2</f>
        <v>17768595.04132231</v>
      </c>
      <c r="D67" s="298">
        <f>D65/(1+D66)^3</f>
        <v>14800901.577761078</v>
      </c>
    </row>
    <row r="68" spans="1:4">
      <c r="A68" s="27" t="s">
        <v>267</v>
      </c>
      <c r="B68" s="299">
        <f>B67+C67+D67</f>
        <v>54160405.709992476</v>
      </c>
      <c r="C68" s="298"/>
      <c r="D68" s="298"/>
    </row>
    <row r="69" spans="1:4">
      <c r="B69" s="8"/>
      <c r="C69" s="8"/>
      <c r="D69" s="8"/>
    </row>
    <row r="70" spans="1:4">
      <c r="B70" s="8"/>
      <c r="C70" s="8"/>
      <c r="D70" s="8"/>
    </row>
    <row r="71" spans="1:4">
      <c r="B71" s="8"/>
      <c r="C71" s="8"/>
      <c r="D71" s="8"/>
    </row>
    <row r="72" spans="1:4">
      <c r="B72" s="8"/>
      <c r="C72" s="8"/>
      <c r="D72" s="8"/>
    </row>
    <row r="73" spans="1:4">
      <c r="B73" s="8"/>
      <c r="C73" s="8"/>
      <c r="D73" s="8"/>
    </row>
  </sheetData>
  <mergeCells count="20">
    <mergeCell ref="B27:C27"/>
    <mergeCell ref="G27:K27"/>
    <mergeCell ref="B34:C34"/>
    <mergeCell ref="B21:L21"/>
    <mergeCell ref="B22:L22"/>
    <mergeCell ref="B35:C35"/>
    <mergeCell ref="G28:K28"/>
    <mergeCell ref="G29:K29"/>
    <mergeCell ref="G30:K30"/>
    <mergeCell ref="G31:K31"/>
    <mergeCell ref="G32:K32"/>
    <mergeCell ref="G33:K33"/>
    <mergeCell ref="G34:K34"/>
    <mergeCell ref="G35:K35"/>
    <mergeCell ref="B28:C28"/>
    <mergeCell ref="B29:C29"/>
    <mergeCell ref="B30:C30"/>
    <mergeCell ref="B31:C31"/>
    <mergeCell ref="B32:C32"/>
    <mergeCell ref="B33:C33"/>
  </mergeCells>
  <phoneticPr fontId="25"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9:K56"/>
  <sheetViews>
    <sheetView workbookViewId="0">
      <selection activeCell="C13" sqref="C13"/>
    </sheetView>
  </sheetViews>
  <sheetFormatPr defaultColWidth="12.6640625" defaultRowHeight="15.75" customHeight="1"/>
  <cols>
    <col min="1" max="1" width="12.6640625" style="24"/>
    <col min="2" max="2" width="20.109375" style="24" customWidth="1"/>
    <col min="3" max="3" width="15.88671875" style="24" customWidth="1"/>
    <col min="4" max="4" width="61" style="24" customWidth="1"/>
    <col min="5" max="16384" width="12.6640625" style="24"/>
  </cols>
  <sheetData>
    <row r="9" spans="1:11" ht="13.2">
      <c r="A9" s="82" t="s">
        <v>76</v>
      </c>
      <c r="B9" s="82"/>
      <c r="C9" s="82"/>
      <c r="D9" s="82"/>
      <c r="E9" s="82"/>
      <c r="F9" s="82"/>
      <c r="G9" s="82"/>
      <c r="H9" s="82"/>
      <c r="I9" s="82"/>
      <c r="J9" s="82"/>
      <c r="K9" s="82"/>
    </row>
    <row r="10" spans="1:11" ht="13.2">
      <c r="A10" s="25"/>
    </row>
    <row r="11" spans="1:11" ht="13.2">
      <c r="A11" s="25" t="s">
        <v>975</v>
      </c>
    </row>
    <row r="12" spans="1:11" ht="13.2">
      <c r="A12" s="25"/>
    </row>
    <row r="13" spans="1:11" ht="13.2">
      <c r="B13" s="25" t="s">
        <v>177</v>
      </c>
    </row>
    <row r="14" spans="1:11" ht="13.2">
      <c r="B14" s="25" t="s">
        <v>178</v>
      </c>
    </row>
    <row r="15" spans="1:11" ht="13.2">
      <c r="B15" s="25" t="s">
        <v>179</v>
      </c>
    </row>
    <row r="16" spans="1:11" ht="13.2">
      <c r="B16" s="25" t="s">
        <v>180</v>
      </c>
    </row>
    <row r="17" spans="1:11" ht="13.2">
      <c r="B17" s="25" t="s">
        <v>181</v>
      </c>
    </row>
    <row r="18" spans="1:11" ht="13.2">
      <c r="B18" s="25" t="s">
        <v>182</v>
      </c>
    </row>
    <row r="19" spans="1:11" ht="13.2">
      <c r="B19" s="25" t="s">
        <v>183</v>
      </c>
    </row>
    <row r="20" spans="1:11" ht="13.2">
      <c r="B20" s="25" t="s">
        <v>184</v>
      </c>
    </row>
    <row r="21" spans="1:11" ht="13.2">
      <c r="B21" s="25" t="s">
        <v>185</v>
      </c>
    </row>
    <row r="23" spans="1:11" ht="13.2">
      <c r="A23" s="82" t="s">
        <v>186</v>
      </c>
      <c r="B23" s="82"/>
      <c r="C23" s="82"/>
      <c r="D23" s="82"/>
      <c r="E23" s="82"/>
      <c r="F23" s="82"/>
      <c r="G23" s="82"/>
      <c r="H23" s="82"/>
      <c r="I23" s="82"/>
      <c r="J23" s="82"/>
      <c r="K23" s="82"/>
    </row>
    <row r="24" spans="1:11" ht="13.2">
      <c r="A24" s="75"/>
      <c r="B24" s="95"/>
      <c r="C24" s="96"/>
    </row>
    <row r="25" spans="1:11" ht="13.2">
      <c r="A25" s="75" t="s">
        <v>187</v>
      </c>
      <c r="B25" s="95">
        <v>44927</v>
      </c>
      <c r="C25" s="96"/>
    </row>
    <row r="26" spans="1:11" ht="13.2">
      <c r="A26" s="75" t="s">
        <v>188</v>
      </c>
      <c r="B26" s="95">
        <f ca="1">TODAY()</f>
        <v>45236</v>
      </c>
      <c r="C26" s="75"/>
      <c r="D26" s="75"/>
    </row>
    <row r="27" spans="1:11" ht="13.2">
      <c r="A27" s="75"/>
      <c r="B27" s="95"/>
      <c r="C27" s="75"/>
      <c r="D27" s="75"/>
    </row>
    <row r="28" spans="1:11" ht="13.2">
      <c r="A28" s="75" t="s">
        <v>189</v>
      </c>
      <c r="B28" s="75" t="s">
        <v>190</v>
      </c>
      <c r="C28" s="75" t="s">
        <v>191</v>
      </c>
      <c r="D28" s="75" t="s">
        <v>192</v>
      </c>
    </row>
    <row r="29" spans="1:11" ht="13.2">
      <c r="A29" s="38">
        <v>1</v>
      </c>
      <c r="B29" s="76" t="s">
        <v>193</v>
      </c>
      <c r="C29" s="77">
        <v>100000</v>
      </c>
      <c r="D29" s="76" t="s">
        <v>194</v>
      </c>
    </row>
    <row r="30" spans="1:11" ht="13.2">
      <c r="A30" s="38">
        <f t="shared" ref="A30:A45" si="0">A29+1</f>
        <v>2</v>
      </c>
      <c r="B30" s="76" t="s">
        <v>195</v>
      </c>
      <c r="C30" s="78">
        <v>0.75</v>
      </c>
      <c r="D30" s="76" t="s">
        <v>196</v>
      </c>
    </row>
    <row r="31" spans="1:11" ht="13.2">
      <c r="A31" s="38">
        <f t="shared" si="0"/>
        <v>3</v>
      </c>
      <c r="B31" s="76" t="s">
        <v>197</v>
      </c>
      <c r="C31" s="77">
        <v>4</v>
      </c>
      <c r="D31" s="76" t="s">
        <v>198</v>
      </c>
    </row>
    <row r="32" spans="1:11" ht="13.2">
      <c r="A32" s="38">
        <f t="shared" si="0"/>
        <v>4</v>
      </c>
      <c r="B32" s="76" t="s">
        <v>199</v>
      </c>
      <c r="C32" s="78">
        <v>0.6</v>
      </c>
      <c r="D32" s="76" t="s">
        <v>200</v>
      </c>
    </row>
    <row r="33" spans="1:4" ht="13.2">
      <c r="A33" s="38">
        <f t="shared" si="0"/>
        <v>5</v>
      </c>
      <c r="B33" s="76" t="s">
        <v>201</v>
      </c>
      <c r="C33" s="77">
        <v>5</v>
      </c>
      <c r="D33" s="76" t="s">
        <v>202</v>
      </c>
    </row>
    <row r="34" spans="1:4" ht="13.2">
      <c r="A34" s="38">
        <f t="shared" si="0"/>
        <v>6</v>
      </c>
      <c r="B34" s="76" t="s">
        <v>203</v>
      </c>
      <c r="C34" s="78">
        <v>0.5</v>
      </c>
      <c r="D34" s="76" t="s">
        <v>204</v>
      </c>
    </row>
    <row r="35" spans="1:4" ht="13.2">
      <c r="A35" s="38">
        <f t="shared" si="0"/>
        <v>7</v>
      </c>
      <c r="B35" s="76" t="s">
        <v>205</v>
      </c>
      <c r="C35" s="77">
        <v>10</v>
      </c>
      <c r="D35" s="76" t="s">
        <v>206</v>
      </c>
    </row>
    <row r="36" spans="1:4" ht="13.2">
      <c r="A36" s="38">
        <f t="shared" si="0"/>
        <v>8</v>
      </c>
      <c r="B36" s="76" t="s">
        <v>207</v>
      </c>
      <c r="C36" s="77">
        <v>60</v>
      </c>
      <c r="D36" s="76" t="s">
        <v>208</v>
      </c>
    </row>
    <row r="37" spans="1:4" ht="13.2">
      <c r="A37" s="38">
        <f t="shared" si="0"/>
        <v>9</v>
      </c>
      <c r="B37" s="79" t="s">
        <v>209</v>
      </c>
      <c r="C37" s="80">
        <f>NETWORKDAYS.INTL(B25,EOMONTH(B25,11))</f>
        <v>260</v>
      </c>
      <c r="D37" s="79"/>
    </row>
    <row r="38" spans="1:4" ht="13.2">
      <c r="A38" s="38">
        <f t="shared" si="0"/>
        <v>10</v>
      </c>
      <c r="B38" s="76" t="s">
        <v>210</v>
      </c>
      <c r="C38" s="77">
        <v>8000</v>
      </c>
      <c r="D38" s="76" t="s">
        <v>211</v>
      </c>
    </row>
    <row r="39" spans="1:4" ht="13.2">
      <c r="A39" s="38">
        <f t="shared" si="0"/>
        <v>11</v>
      </c>
      <c r="B39" s="81" t="s">
        <v>212</v>
      </c>
      <c r="C39" s="80">
        <f>C29*C30</f>
        <v>75000</v>
      </c>
    </row>
    <row r="40" spans="1:4" ht="13.2">
      <c r="A40" s="38">
        <f t="shared" si="0"/>
        <v>12</v>
      </c>
      <c r="B40" s="81" t="s">
        <v>213</v>
      </c>
      <c r="C40" s="80">
        <f>C39*C31*C32</f>
        <v>180000</v>
      </c>
    </row>
    <row r="41" spans="1:4" ht="13.2">
      <c r="A41" s="38">
        <f t="shared" si="0"/>
        <v>13</v>
      </c>
      <c r="B41" s="79" t="s">
        <v>214</v>
      </c>
      <c r="C41" s="80">
        <f>C33</f>
        <v>5</v>
      </c>
    </row>
    <row r="42" spans="1:4" ht="13.2">
      <c r="A42" s="38">
        <f t="shared" si="0"/>
        <v>14</v>
      </c>
      <c r="B42" s="79" t="s">
        <v>215</v>
      </c>
      <c r="C42" s="80">
        <f>C41*C40</f>
        <v>900000</v>
      </c>
    </row>
    <row r="43" spans="1:4" ht="13.2">
      <c r="A43" s="38">
        <f t="shared" si="0"/>
        <v>15</v>
      </c>
      <c r="B43" s="81" t="s">
        <v>216</v>
      </c>
      <c r="C43" s="80">
        <f>C35*C36*C37</f>
        <v>156000</v>
      </c>
    </row>
    <row r="44" spans="1:4" ht="13.2">
      <c r="A44" s="38">
        <f t="shared" si="0"/>
        <v>16</v>
      </c>
      <c r="B44" s="81" t="s">
        <v>217</v>
      </c>
      <c r="C44" s="80">
        <f>C38*C41</f>
        <v>40000</v>
      </c>
    </row>
    <row r="45" spans="1:4" ht="13.2">
      <c r="A45" s="38">
        <f t="shared" si="0"/>
        <v>17</v>
      </c>
      <c r="B45" s="81" t="s">
        <v>218</v>
      </c>
      <c r="C45" s="80">
        <f>C40/C44</f>
        <v>4.5</v>
      </c>
    </row>
    <row r="48" spans="1:4" ht="15.75" customHeight="1">
      <c r="A48" s="86" t="s">
        <v>219</v>
      </c>
    </row>
    <row r="49" spans="1:3" ht="15.75" customHeight="1">
      <c r="A49" s="86"/>
    </row>
    <row r="50" spans="1:3" ht="15.75" customHeight="1">
      <c r="B50" s="28" t="s">
        <v>220</v>
      </c>
      <c r="C50" s="28"/>
    </row>
    <row r="51" spans="1:3" ht="15.75" customHeight="1">
      <c r="B51" s="28" t="s">
        <v>221</v>
      </c>
      <c r="C51" s="28"/>
    </row>
    <row r="52" spans="1:3" ht="15.75" customHeight="1">
      <c r="B52" s="28" t="s">
        <v>222</v>
      </c>
      <c r="C52" s="28"/>
    </row>
    <row r="53" spans="1:3" ht="15.75" customHeight="1">
      <c r="B53" s="28" t="s">
        <v>223</v>
      </c>
      <c r="C53" s="28"/>
    </row>
    <row r="54" spans="1:3" ht="15.75" customHeight="1">
      <c r="B54" s="28" t="s">
        <v>224</v>
      </c>
      <c r="C54" s="28"/>
    </row>
    <row r="56" spans="1:3" ht="15.75" customHeight="1">
      <c r="A56" s="24" t="s">
        <v>225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9:AA1023"/>
  <sheetViews>
    <sheetView workbookViewId="0">
      <selection activeCell="A9" sqref="A9"/>
    </sheetView>
  </sheetViews>
  <sheetFormatPr defaultColWidth="12.6640625" defaultRowHeight="15.75" customHeight="1"/>
  <cols>
    <col min="1" max="1" width="53.33203125" style="24" customWidth="1"/>
    <col min="2" max="2" width="12.6640625" style="24" customWidth="1"/>
    <col min="3" max="3" width="25.6640625" style="24" customWidth="1"/>
    <col min="4" max="4" width="26.6640625" style="24" customWidth="1"/>
    <col min="5" max="5" width="22.88671875" style="24" customWidth="1"/>
    <col min="6" max="14" width="22.109375" style="24" customWidth="1"/>
    <col min="15" max="15" width="25.6640625" style="24" customWidth="1"/>
    <col min="16" max="16" width="19.6640625" style="24" customWidth="1"/>
    <col min="17" max="16384" width="12.6640625" style="24"/>
  </cols>
  <sheetData>
    <row r="9" spans="1:26" ht="15.75" customHeight="1">
      <c r="A9" s="26" t="s">
        <v>974</v>
      </c>
    </row>
    <row r="10" spans="1:26" ht="15.75" customHeight="1">
      <c r="A10" s="26" t="s">
        <v>970</v>
      </c>
    </row>
    <row r="11" spans="1:26" ht="15.75" customHeight="1">
      <c r="A11" s="26" t="s">
        <v>972</v>
      </c>
    </row>
    <row r="12" spans="1:26" ht="13.2">
      <c r="A12" s="91" t="s">
        <v>971</v>
      </c>
      <c r="B12" s="25"/>
      <c r="C12" s="25"/>
      <c r="D12" s="25"/>
      <c r="F12" s="302"/>
      <c r="H12" s="25"/>
      <c r="I12" s="25"/>
      <c r="J12" s="25"/>
      <c r="K12" s="25"/>
      <c r="L12" s="25"/>
      <c r="M12" s="25"/>
      <c r="N12" s="25"/>
      <c r="O12" s="25"/>
      <c r="P12" s="25"/>
      <c r="Q12" s="25"/>
      <c r="R12" s="25"/>
      <c r="S12" s="25"/>
      <c r="T12" s="25"/>
      <c r="U12" s="25"/>
      <c r="V12" s="25"/>
      <c r="W12" s="25"/>
      <c r="X12" s="25"/>
      <c r="Y12" s="25"/>
      <c r="Z12" s="25"/>
    </row>
    <row r="13" spans="1:26" ht="13.2">
      <c r="A13" s="91" t="s">
        <v>973</v>
      </c>
      <c r="B13" s="25"/>
      <c r="C13" s="25"/>
      <c r="D13" s="25"/>
      <c r="F13" s="302"/>
      <c r="H13" s="25"/>
      <c r="I13" s="25"/>
      <c r="J13" s="25"/>
      <c r="K13" s="25"/>
      <c r="L13" s="25"/>
      <c r="M13" s="25"/>
      <c r="N13" s="25"/>
      <c r="O13" s="25"/>
      <c r="P13" s="25"/>
      <c r="Q13" s="25"/>
      <c r="R13" s="25"/>
      <c r="S13" s="25"/>
      <c r="T13" s="25"/>
      <c r="U13" s="25"/>
      <c r="V13" s="25"/>
      <c r="W13" s="25"/>
      <c r="X13" s="25"/>
      <c r="Y13" s="25"/>
      <c r="Z13" s="25"/>
    </row>
    <row r="14" spans="1:26" ht="13.2">
      <c r="A14" s="91"/>
      <c r="B14" s="25"/>
      <c r="C14" s="25"/>
      <c r="D14" s="25"/>
      <c r="F14" s="302"/>
      <c r="H14" s="25"/>
      <c r="I14" s="25"/>
      <c r="J14" s="25"/>
      <c r="K14" s="25"/>
      <c r="L14" s="25"/>
      <c r="M14" s="25"/>
      <c r="N14" s="25"/>
      <c r="O14" s="25"/>
      <c r="P14" s="25"/>
      <c r="Q14" s="25"/>
      <c r="R14" s="25"/>
      <c r="S14" s="25"/>
      <c r="T14" s="25"/>
      <c r="U14" s="25"/>
      <c r="V14" s="25"/>
      <c r="W14" s="25"/>
      <c r="X14" s="25"/>
      <c r="Y14" s="25"/>
      <c r="Z14" s="25"/>
    </row>
    <row r="15" spans="1:26" ht="13.2">
      <c r="A15" s="301"/>
      <c r="B15" s="25"/>
      <c r="C15" s="25"/>
      <c r="D15" s="25"/>
      <c r="F15" s="302"/>
      <c r="H15" s="25"/>
      <c r="I15" s="25"/>
      <c r="J15" s="25"/>
      <c r="K15" s="25"/>
      <c r="L15" s="25"/>
      <c r="M15" s="25"/>
      <c r="N15" s="25"/>
      <c r="O15" s="25"/>
      <c r="P15" s="25"/>
      <c r="Q15" s="25"/>
      <c r="R15" s="25"/>
      <c r="S15" s="25"/>
      <c r="T15" s="25"/>
      <c r="U15" s="25"/>
      <c r="V15" s="25"/>
      <c r="W15" s="25"/>
      <c r="X15" s="25"/>
      <c r="Y15" s="25"/>
      <c r="Z15" s="25"/>
    </row>
    <row r="16" spans="1:26" ht="13.2">
      <c r="A16" s="301"/>
      <c r="B16" s="303" t="s">
        <v>306</v>
      </c>
      <c r="C16" s="304"/>
      <c r="D16" s="304"/>
      <c r="F16" s="305" t="s">
        <v>307</v>
      </c>
      <c r="G16" s="304"/>
      <c r="H16" s="304"/>
      <c r="I16" s="304"/>
      <c r="J16" s="304"/>
      <c r="K16" s="304"/>
      <c r="L16" s="25"/>
      <c r="M16" s="25"/>
      <c r="N16" s="25"/>
      <c r="O16" s="25"/>
      <c r="P16" s="25"/>
      <c r="Q16" s="25"/>
      <c r="R16" s="25"/>
      <c r="S16" s="25"/>
      <c r="T16" s="25"/>
      <c r="U16" s="25"/>
      <c r="V16" s="25"/>
      <c r="W16" s="25"/>
      <c r="X16" s="25"/>
      <c r="Y16" s="25"/>
      <c r="Z16" s="25"/>
    </row>
    <row r="17" spans="1:27" ht="13.2">
      <c r="A17" s="301" t="s">
        <v>308</v>
      </c>
      <c r="B17" s="25" t="s">
        <v>309</v>
      </c>
      <c r="C17" s="25"/>
      <c r="D17" s="25"/>
      <c r="F17" s="302" t="s">
        <v>310</v>
      </c>
      <c r="G17" s="24" t="s">
        <v>311</v>
      </c>
      <c r="H17" s="25"/>
      <c r="I17" s="25"/>
      <c r="J17" s="25"/>
      <c r="K17" s="25"/>
      <c r="L17" s="25"/>
      <c r="M17" s="25"/>
      <c r="N17" s="25"/>
      <c r="O17" s="25"/>
      <c r="P17" s="25"/>
      <c r="Q17" s="25"/>
      <c r="R17" s="25"/>
      <c r="S17" s="25"/>
      <c r="T17" s="25"/>
      <c r="U17" s="25"/>
      <c r="V17" s="25"/>
      <c r="W17" s="25"/>
      <c r="X17" s="25"/>
      <c r="Y17" s="25"/>
      <c r="Z17" s="25"/>
    </row>
    <row r="18" spans="1:27" ht="13.2">
      <c r="A18" s="301"/>
      <c r="B18" s="25" t="s">
        <v>312</v>
      </c>
      <c r="C18" s="25"/>
      <c r="D18" s="25"/>
      <c r="F18" s="302" t="s">
        <v>313</v>
      </c>
      <c r="G18" s="24" t="s">
        <v>314</v>
      </c>
      <c r="H18" s="25"/>
      <c r="I18" s="25"/>
      <c r="J18" s="25"/>
      <c r="K18" s="25"/>
      <c r="L18" s="25"/>
      <c r="M18" s="25"/>
      <c r="N18" s="25"/>
      <c r="O18" s="25"/>
      <c r="P18" s="25"/>
      <c r="Q18" s="25"/>
      <c r="R18" s="25"/>
      <c r="S18" s="25"/>
      <c r="T18" s="25"/>
      <c r="U18" s="25"/>
      <c r="V18" s="25"/>
      <c r="W18" s="25"/>
      <c r="X18" s="25"/>
      <c r="Y18" s="25"/>
      <c r="Z18" s="25"/>
    </row>
    <row r="19" spans="1:27" ht="13.2">
      <c r="A19" s="301"/>
      <c r="B19" s="25"/>
      <c r="C19" s="25"/>
      <c r="D19" s="25"/>
      <c r="F19" s="302" t="s">
        <v>315</v>
      </c>
      <c r="G19" s="24" t="s">
        <v>316</v>
      </c>
      <c r="H19" s="25"/>
      <c r="I19" s="25"/>
      <c r="J19" s="25"/>
      <c r="K19" s="25"/>
      <c r="L19" s="25"/>
      <c r="M19" s="25"/>
      <c r="N19" s="25"/>
      <c r="O19" s="25"/>
      <c r="P19" s="25"/>
      <c r="Q19" s="25"/>
      <c r="R19" s="25"/>
      <c r="S19" s="25"/>
      <c r="T19" s="25"/>
      <c r="U19" s="25"/>
      <c r="V19" s="25"/>
      <c r="W19" s="25"/>
      <c r="X19" s="25"/>
      <c r="Y19" s="25"/>
      <c r="Z19" s="25"/>
    </row>
    <row r="20" spans="1:27" ht="13.2">
      <c r="A20" s="301" t="s">
        <v>317</v>
      </c>
      <c r="B20" s="25" t="s">
        <v>318</v>
      </c>
      <c r="C20" s="25"/>
      <c r="D20" s="25"/>
      <c r="F20" s="302" t="s">
        <v>319</v>
      </c>
      <c r="G20" s="26" t="s">
        <v>320</v>
      </c>
      <c r="H20" s="25"/>
      <c r="I20" s="25"/>
      <c r="J20" s="25"/>
      <c r="K20" s="25"/>
      <c r="L20" s="25"/>
      <c r="M20" s="25"/>
      <c r="N20" s="25"/>
      <c r="O20" s="25"/>
      <c r="P20" s="25"/>
      <c r="Q20" s="25"/>
      <c r="R20" s="25"/>
      <c r="S20" s="25"/>
      <c r="T20" s="25"/>
      <c r="U20" s="25"/>
      <c r="V20" s="25"/>
      <c r="W20" s="25"/>
      <c r="X20" s="25"/>
      <c r="Y20" s="25"/>
      <c r="Z20" s="25"/>
    </row>
    <row r="21" spans="1:27" ht="13.2">
      <c r="A21" s="301"/>
      <c r="B21" s="25" t="s">
        <v>321</v>
      </c>
      <c r="C21" s="25"/>
      <c r="D21" s="25"/>
      <c r="F21" s="302" t="s">
        <v>322</v>
      </c>
      <c r="G21" s="24" t="s">
        <v>323</v>
      </c>
      <c r="H21" s="25"/>
      <c r="I21" s="25"/>
      <c r="J21" s="25"/>
      <c r="K21" s="25"/>
      <c r="L21" s="25"/>
      <c r="M21" s="25"/>
      <c r="N21" s="25"/>
      <c r="O21" s="25"/>
      <c r="P21" s="25"/>
      <c r="Q21" s="25"/>
      <c r="R21" s="25"/>
      <c r="S21" s="25"/>
      <c r="T21" s="25"/>
      <c r="U21" s="25"/>
      <c r="V21" s="25"/>
      <c r="W21" s="25"/>
      <c r="X21" s="25"/>
      <c r="Y21" s="25"/>
      <c r="Z21" s="25"/>
    </row>
    <row r="22" spans="1:27" ht="13.2">
      <c r="A22" s="301"/>
      <c r="B22" s="25"/>
      <c r="C22" s="25"/>
      <c r="D22" s="25"/>
      <c r="F22" s="302" t="s">
        <v>324</v>
      </c>
      <c r="G22" s="24" t="s">
        <v>325</v>
      </c>
      <c r="H22" s="25"/>
      <c r="I22" s="25"/>
      <c r="J22" s="25"/>
      <c r="K22" s="25"/>
      <c r="L22" s="25"/>
      <c r="M22" s="25"/>
      <c r="N22" s="25"/>
      <c r="O22" s="25"/>
      <c r="P22" s="25"/>
      <c r="Q22" s="25"/>
      <c r="R22" s="25"/>
      <c r="S22" s="25"/>
      <c r="T22" s="25"/>
      <c r="U22" s="25"/>
      <c r="V22" s="25"/>
      <c r="W22" s="25"/>
      <c r="X22" s="25"/>
      <c r="Y22" s="25"/>
      <c r="Z22" s="25"/>
    </row>
    <row r="23" spans="1:27" ht="13.2">
      <c r="A23" s="301" t="s">
        <v>326</v>
      </c>
      <c r="B23" s="25" t="s">
        <v>327</v>
      </c>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7" ht="13.2">
      <c r="A24" s="301"/>
      <c r="B24" s="25" t="s">
        <v>328</v>
      </c>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7" ht="13.2">
      <c r="A25" s="301"/>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7" ht="13.2">
      <c r="A26" s="301" t="s">
        <v>329</v>
      </c>
      <c r="B26" s="25" t="s">
        <v>330</v>
      </c>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7" ht="13.2">
      <c r="A27" s="302"/>
      <c r="B27" s="25" t="s">
        <v>331</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2">
      <c r="A28" s="302"/>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3.2">
      <c r="A29" s="302"/>
      <c r="B29" s="306"/>
      <c r="C29" s="25" t="s">
        <v>332</v>
      </c>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3.2">
      <c r="A30" s="302"/>
      <c r="B30" s="307"/>
      <c r="C30" s="25" t="s">
        <v>333</v>
      </c>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13.2">
      <c r="A31" s="302"/>
      <c r="B31" s="308"/>
      <c r="D31" s="308"/>
      <c r="E31" s="308"/>
      <c r="F31" s="308"/>
      <c r="H31" s="308"/>
      <c r="I31" s="25"/>
      <c r="J31" s="308"/>
      <c r="K31" s="25"/>
      <c r="L31" s="308"/>
      <c r="M31" s="25"/>
      <c r="N31" s="25"/>
      <c r="O31" s="25"/>
      <c r="P31" s="25"/>
      <c r="Q31" s="25"/>
      <c r="R31" s="25"/>
      <c r="S31" s="25"/>
      <c r="T31" s="25"/>
      <c r="U31" s="25"/>
      <c r="V31" s="25"/>
      <c r="W31" s="25"/>
      <c r="X31" s="25"/>
      <c r="Y31" s="25"/>
      <c r="Z31" s="25"/>
      <c r="AA31" s="25"/>
    </row>
    <row r="32" spans="1:27" ht="13.2">
      <c r="A32" s="309"/>
      <c r="B32" s="310"/>
      <c r="C32" s="311"/>
      <c r="D32" s="310" t="s">
        <v>334</v>
      </c>
      <c r="E32" s="310"/>
      <c r="F32" s="310" t="s">
        <v>335</v>
      </c>
      <c r="G32" s="311"/>
      <c r="H32" s="310" t="s">
        <v>336</v>
      </c>
      <c r="I32" s="312"/>
      <c r="J32" s="310" t="s">
        <v>337</v>
      </c>
      <c r="K32" s="312"/>
      <c r="L32" s="310" t="s">
        <v>338</v>
      </c>
      <c r="M32" s="312"/>
      <c r="N32" s="312"/>
      <c r="O32" s="312"/>
      <c r="P32" s="25"/>
      <c r="Q32" s="25"/>
      <c r="R32" s="25"/>
      <c r="S32" s="25"/>
      <c r="T32" s="25"/>
      <c r="U32" s="25"/>
      <c r="V32" s="25"/>
      <c r="W32" s="25"/>
      <c r="X32" s="25"/>
      <c r="Y32" s="25"/>
      <c r="Z32" s="25"/>
      <c r="AA32" s="25"/>
    </row>
    <row r="33" spans="1:27" ht="13.2">
      <c r="A33" s="302"/>
      <c r="B33" s="308"/>
      <c r="H33" s="25"/>
      <c r="I33" s="25"/>
      <c r="J33" s="25"/>
      <c r="K33" s="25"/>
      <c r="L33" s="25"/>
      <c r="M33" s="25"/>
      <c r="N33" s="25"/>
      <c r="O33" s="25"/>
      <c r="P33" s="25"/>
      <c r="Q33" s="25"/>
      <c r="R33" s="25"/>
      <c r="S33" s="25"/>
      <c r="T33" s="25"/>
      <c r="U33" s="25"/>
      <c r="V33" s="25"/>
      <c r="W33" s="25"/>
      <c r="X33" s="25"/>
      <c r="Y33" s="25"/>
      <c r="Z33" s="25"/>
      <c r="AA33" s="25"/>
    </row>
    <row r="34" spans="1:27" ht="13.2">
      <c r="A34" s="302" t="s">
        <v>339</v>
      </c>
      <c r="B34" s="313" t="s">
        <v>340</v>
      </c>
      <c r="C34" s="302" t="s">
        <v>341</v>
      </c>
      <c r="D34" s="77">
        <v>35000</v>
      </c>
      <c r="E34" s="302" t="s">
        <v>342</v>
      </c>
      <c r="F34" s="314">
        <v>4</v>
      </c>
      <c r="G34" s="302" t="s">
        <v>342</v>
      </c>
      <c r="H34" s="314">
        <v>5.5</v>
      </c>
      <c r="I34" s="302" t="s">
        <v>343</v>
      </c>
      <c r="J34" s="315">
        <v>5</v>
      </c>
      <c r="K34" s="302" t="s">
        <v>343</v>
      </c>
      <c r="L34" s="315">
        <v>3</v>
      </c>
      <c r="M34" s="25"/>
      <c r="N34" s="25"/>
      <c r="O34" s="25"/>
      <c r="P34" s="25"/>
      <c r="Q34" s="25"/>
      <c r="R34" s="25"/>
      <c r="S34" s="25"/>
      <c r="T34" s="25"/>
      <c r="U34" s="25"/>
      <c r="V34" s="25"/>
      <c r="W34" s="25"/>
      <c r="X34" s="25"/>
      <c r="Y34" s="25"/>
      <c r="Z34" s="25"/>
      <c r="AA34" s="25"/>
    </row>
    <row r="35" spans="1:27" ht="13.2">
      <c r="A35" s="302" t="s">
        <v>344</v>
      </c>
      <c r="B35" s="316">
        <v>1000000</v>
      </c>
      <c r="C35" s="302" t="s">
        <v>345</v>
      </c>
      <c r="D35" s="77">
        <v>80</v>
      </c>
      <c r="E35" s="302" t="s">
        <v>346</v>
      </c>
      <c r="F35" s="315">
        <v>3</v>
      </c>
      <c r="G35" s="302" t="s">
        <v>346</v>
      </c>
      <c r="H35" s="315">
        <v>4</v>
      </c>
      <c r="I35" s="302" t="s">
        <v>347</v>
      </c>
      <c r="J35" s="314">
        <v>3</v>
      </c>
      <c r="K35" s="302" t="s">
        <v>348</v>
      </c>
      <c r="L35" s="315">
        <v>1</v>
      </c>
      <c r="M35" s="25"/>
      <c r="N35" s="25"/>
      <c r="O35" s="25"/>
      <c r="P35" s="25"/>
      <c r="Q35" s="25"/>
      <c r="R35" s="25"/>
      <c r="S35" s="25"/>
      <c r="T35" s="25"/>
      <c r="U35" s="25"/>
      <c r="V35" s="25"/>
      <c r="W35" s="25"/>
      <c r="X35" s="25"/>
      <c r="Y35" s="25"/>
      <c r="Z35" s="25"/>
      <c r="AA35" s="25"/>
    </row>
    <row r="36" spans="1:27" ht="13.2">
      <c r="A36" s="302" t="s">
        <v>349</v>
      </c>
      <c r="B36" s="317">
        <v>44927</v>
      </c>
      <c r="C36" s="302" t="s">
        <v>350</v>
      </c>
      <c r="D36" s="318">
        <f>1/(AVERAGE(D37:D39))</f>
        <v>0.29910269192422728</v>
      </c>
      <c r="E36" s="302" t="s">
        <v>351</v>
      </c>
      <c r="F36" s="319">
        <v>0.4</v>
      </c>
      <c r="G36" s="302" t="s">
        <v>351</v>
      </c>
      <c r="H36" s="319">
        <v>0.32</v>
      </c>
      <c r="I36" s="302" t="s">
        <v>352</v>
      </c>
      <c r="J36" s="315">
        <v>1</v>
      </c>
      <c r="K36" s="302" t="s">
        <v>353</v>
      </c>
      <c r="L36" s="315">
        <v>0.5</v>
      </c>
      <c r="M36" s="25"/>
      <c r="N36" s="25"/>
      <c r="O36" s="25"/>
      <c r="P36" s="25"/>
      <c r="Q36" s="25"/>
      <c r="R36" s="25"/>
      <c r="S36" s="25"/>
      <c r="T36" s="25"/>
      <c r="U36" s="25"/>
      <c r="V36" s="25"/>
      <c r="W36" s="25"/>
      <c r="X36" s="25"/>
      <c r="Y36" s="25"/>
      <c r="Z36" s="25"/>
      <c r="AA36" s="25"/>
    </row>
    <row r="37" spans="1:27" ht="13.2">
      <c r="A37" s="302" t="s">
        <v>188</v>
      </c>
      <c r="B37" s="320">
        <f ca="1">TODAY()</f>
        <v>45236</v>
      </c>
      <c r="C37" s="302" t="s">
        <v>354</v>
      </c>
      <c r="D37" s="314">
        <v>2.5</v>
      </c>
      <c r="E37" s="302" t="s">
        <v>355</v>
      </c>
      <c r="F37" s="319">
        <v>0.5</v>
      </c>
      <c r="G37" s="302" t="s">
        <v>355</v>
      </c>
      <c r="H37" s="319">
        <v>0.34</v>
      </c>
      <c r="I37" s="302" t="s">
        <v>353</v>
      </c>
      <c r="J37" s="315">
        <v>1</v>
      </c>
      <c r="K37" s="302" t="s">
        <v>356</v>
      </c>
      <c r="L37" s="319">
        <v>0.3</v>
      </c>
      <c r="M37" s="25"/>
      <c r="N37" s="25"/>
      <c r="O37" s="25"/>
      <c r="P37" s="25"/>
      <c r="Q37" s="25"/>
      <c r="R37" s="25"/>
      <c r="S37" s="25"/>
      <c r="T37" s="25"/>
      <c r="U37" s="25"/>
      <c r="V37" s="25"/>
      <c r="W37" s="25"/>
      <c r="X37" s="25"/>
      <c r="Y37" s="25"/>
      <c r="Z37" s="25"/>
      <c r="AA37" s="25"/>
    </row>
    <row r="38" spans="1:27" ht="13.2">
      <c r="A38" s="302" t="s">
        <v>357</v>
      </c>
      <c r="B38" s="321">
        <f>EOMONTH(B36,11)</f>
        <v>45291</v>
      </c>
      <c r="C38" s="302" t="s">
        <v>358</v>
      </c>
      <c r="D38" s="314">
        <v>3.2</v>
      </c>
      <c r="E38" s="302" t="s">
        <v>359</v>
      </c>
      <c r="F38" s="322">
        <f>(F34*F35)/F36/F37</f>
        <v>60</v>
      </c>
      <c r="G38" s="302" t="s">
        <v>360</v>
      </c>
      <c r="H38" s="322">
        <f>(H34*H35)/H36/H37</f>
        <v>202.20588235294116</v>
      </c>
      <c r="I38" s="302" t="s">
        <v>361</v>
      </c>
      <c r="J38" s="314">
        <v>1</v>
      </c>
      <c r="K38" s="302"/>
      <c r="L38" s="323"/>
      <c r="M38" s="25"/>
      <c r="N38" s="25"/>
      <c r="O38" s="25"/>
      <c r="P38" s="25"/>
      <c r="Q38" s="25"/>
      <c r="R38" s="25"/>
      <c r="S38" s="25"/>
      <c r="T38" s="25"/>
      <c r="U38" s="25"/>
      <c r="V38" s="25"/>
      <c r="W38" s="25"/>
      <c r="X38" s="25"/>
      <c r="Y38" s="25"/>
      <c r="Z38" s="25"/>
      <c r="AA38" s="25"/>
    </row>
    <row r="39" spans="1:27" ht="13.2">
      <c r="A39" s="302" t="s">
        <v>362</v>
      </c>
      <c r="B39" s="324">
        <f ca="1">DATE(YEAR(B37),FLOOR(MONTH(B37)-1,3)+1,1)</f>
        <v>45200</v>
      </c>
      <c r="C39" s="302" t="s">
        <v>363</v>
      </c>
      <c r="D39" s="314">
        <v>4.33</v>
      </c>
      <c r="E39" s="302" t="s">
        <v>364</v>
      </c>
      <c r="F39" s="314">
        <v>2</v>
      </c>
      <c r="G39" s="302" t="s">
        <v>365</v>
      </c>
      <c r="H39" s="314">
        <v>2</v>
      </c>
      <c r="I39" s="302" t="s">
        <v>366</v>
      </c>
      <c r="J39" s="314">
        <v>0.5</v>
      </c>
      <c r="K39" s="302"/>
      <c r="L39" s="323"/>
      <c r="M39" s="25"/>
      <c r="N39" s="25"/>
      <c r="O39" s="25"/>
      <c r="P39" s="25"/>
      <c r="Q39" s="25"/>
      <c r="R39" s="25"/>
      <c r="S39" s="25"/>
      <c r="T39" s="25"/>
      <c r="U39" s="25"/>
      <c r="V39" s="25"/>
      <c r="W39" s="25"/>
      <c r="X39" s="25"/>
      <c r="Y39" s="25"/>
      <c r="Z39" s="25"/>
      <c r="AA39" s="25"/>
    </row>
    <row r="40" spans="1:27" ht="13.2">
      <c r="A40" s="302" t="s">
        <v>367</v>
      </c>
      <c r="B40" s="324">
        <f ca="1">DATE(YEAR(B37),3*TRUNC((MONTH(B37)-1)/3)+4,0)</f>
        <v>45291</v>
      </c>
      <c r="E40" s="302" t="s">
        <v>368</v>
      </c>
      <c r="F40" s="314">
        <v>1.5</v>
      </c>
      <c r="G40" s="302" t="s">
        <v>369</v>
      </c>
      <c r="H40" s="314">
        <v>1.2</v>
      </c>
      <c r="I40" s="302" t="s">
        <v>370</v>
      </c>
      <c r="J40" s="325">
        <v>0.15</v>
      </c>
      <c r="K40" s="302"/>
      <c r="L40" s="326"/>
      <c r="M40" s="25"/>
      <c r="N40" s="25"/>
      <c r="O40" s="25"/>
      <c r="P40" s="25"/>
      <c r="Q40" s="25"/>
      <c r="R40" s="25"/>
      <c r="S40" s="25"/>
      <c r="T40" s="25"/>
      <c r="U40" s="25"/>
      <c r="V40" s="25"/>
      <c r="W40" s="25"/>
      <c r="X40" s="25"/>
      <c r="Y40" s="25"/>
      <c r="Z40" s="25"/>
      <c r="AA40" s="25"/>
    </row>
    <row r="41" spans="1:27" ht="13.2">
      <c r="A41" s="302" t="s">
        <v>371</v>
      </c>
      <c r="B41" s="18" t="str">
        <f ca="1">ROUNDUP(MONTH(B37)/3,0)&amp; "Q"</f>
        <v>4Q</v>
      </c>
      <c r="E41" s="302" t="s">
        <v>372</v>
      </c>
      <c r="F41" s="322">
        <f>F38/(F34*F35)</f>
        <v>5</v>
      </c>
      <c r="G41" s="302" t="s">
        <v>373</v>
      </c>
      <c r="H41" s="322">
        <f>H38/(H34*H35)</f>
        <v>9.1911764705882337</v>
      </c>
      <c r="I41" s="302" t="s">
        <v>374</v>
      </c>
      <c r="J41" s="327">
        <v>0.21</v>
      </c>
      <c r="K41" s="302"/>
      <c r="L41" s="328"/>
      <c r="M41" s="25"/>
      <c r="N41" s="25"/>
      <c r="O41" s="25"/>
      <c r="P41" s="25"/>
      <c r="Q41" s="25"/>
      <c r="R41" s="25"/>
      <c r="S41" s="25"/>
      <c r="T41" s="25"/>
      <c r="U41" s="25"/>
      <c r="V41" s="25"/>
      <c r="W41" s="25"/>
      <c r="X41" s="25"/>
      <c r="Y41" s="25"/>
      <c r="Z41" s="25"/>
      <c r="AA41" s="25"/>
    </row>
    <row r="42" spans="1:27" ht="13.2">
      <c r="A42" s="302" t="s">
        <v>375</v>
      </c>
      <c r="B42" s="18">
        <f ca="1">NETWORKDAYS.INTL(B39,B40)</f>
        <v>65</v>
      </c>
      <c r="F42" s="86"/>
      <c r="G42" s="329"/>
      <c r="H42" s="25"/>
      <c r="I42" s="25"/>
      <c r="J42" s="25"/>
      <c r="K42" s="25"/>
      <c r="L42" s="25"/>
      <c r="M42" s="25"/>
      <c r="N42" s="25"/>
      <c r="O42" s="25"/>
      <c r="P42" s="25"/>
      <c r="Q42" s="25"/>
      <c r="R42" s="25"/>
      <c r="S42" s="25"/>
      <c r="T42" s="25"/>
      <c r="U42" s="25"/>
      <c r="V42" s="25"/>
      <c r="W42" s="25"/>
      <c r="X42" s="25"/>
      <c r="Y42" s="25"/>
      <c r="Z42" s="25"/>
      <c r="AA42" s="25"/>
    </row>
    <row r="43" spans="1:27" ht="13.2">
      <c r="A43" s="302" t="s">
        <v>376</v>
      </c>
      <c r="B43" s="18">
        <f ca="1">NETWORKDAYS(B37,B40)</f>
        <v>40</v>
      </c>
      <c r="F43" s="86"/>
      <c r="G43" s="329"/>
      <c r="H43" s="25"/>
      <c r="I43" s="40" t="s">
        <v>377</v>
      </c>
      <c r="J43" s="25" t="s">
        <v>378</v>
      </c>
      <c r="K43" s="40" t="s">
        <v>377</v>
      </c>
      <c r="L43" s="25" t="s">
        <v>378</v>
      </c>
      <c r="M43" s="25"/>
      <c r="N43" s="25"/>
      <c r="O43" s="25"/>
      <c r="P43" s="25"/>
      <c r="Q43" s="25"/>
      <c r="R43" s="25"/>
      <c r="S43" s="25"/>
      <c r="T43" s="25"/>
      <c r="U43" s="25"/>
      <c r="V43" s="25"/>
      <c r="W43" s="25"/>
      <c r="X43" s="25"/>
      <c r="Y43" s="25"/>
      <c r="Z43" s="25"/>
      <c r="AA43" s="25"/>
    </row>
    <row r="44" spans="1:27" ht="13.2">
      <c r="A44" s="302" t="s">
        <v>379</v>
      </c>
      <c r="B44" s="18">
        <f>52*5-5*5</f>
        <v>235</v>
      </c>
      <c r="F44" s="86"/>
      <c r="G44" s="329"/>
      <c r="H44" s="25"/>
      <c r="I44" s="25"/>
      <c r="J44" s="25"/>
      <c r="K44" s="40" t="s">
        <v>380</v>
      </c>
      <c r="L44" s="25" t="s">
        <v>381</v>
      </c>
      <c r="M44" s="25"/>
      <c r="N44" s="25"/>
      <c r="O44" s="25"/>
      <c r="P44" s="25"/>
      <c r="Q44" s="25"/>
      <c r="R44" s="25"/>
      <c r="S44" s="25"/>
      <c r="T44" s="25"/>
      <c r="U44" s="25"/>
      <c r="V44" s="25"/>
      <c r="W44" s="25"/>
      <c r="X44" s="25"/>
      <c r="Y44" s="25"/>
      <c r="Z44" s="25"/>
      <c r="AA44" s="25"/>
    </row>
    <row r="45" spans="1:27" ht="13.2">
      <c r="A45" s="302" t="s">
        <v>382</v>
      </c>
      <c r="B45" s="18">
        <f ca="1">NETWORKDAYS.INTL(B37,B38)</f>
        <v>40</v>
      </c>
      <c r="F45" s="330"/>
      <c r="H45" s="25"/>
      <c r="I45" s="25"/>
      <c r="J45" s="25"/>
      <c r="K45" s="25"/>
      <c r="L45" s="25"/>
      <c r="M45" s="25"/>
      <c r="N45" s="25"/>
      <c r="O45" s="25"/>
      <c r="P45" s="25"/>
      <c r="Q45" s="25"/>
      <c r="R45" s="25"/>
      <c r="S45" s="25"/>
      <c r="T45" s="25"/>
      <c r="U45" s="25"/>
      <c r="V45" s="25"/>
      <c r="W45" s="25"/>
      <c r="X45" s="25"/>
      <c r="Y45" s="25"/>
      <c r="Z45" s="25"/>
      <c r="AA45" s="25"/>
    </row>
    <row r="46" spans="1:27" ht="13.2">
      <c r="A46" s="302" t="s">
        <v>383</v>
      </c>
      <c r="B46" s="331">
        <f ca="1">B45/5</f>
        <v>8</v>
      </c>
      <c r="H46" s="25"/>
      <c r="I46" s="25"/>
      <c r="J46" s="25"/>
      <c r="K46" s="25"/>
      <c r="L46" s="25"/>
      <c r="M46" s="25"/>
      <c r="N46" s="25"/>
      <c r="O46" s="25"/>
      <c r="P46" s="25"/>
      <c r="Q46" s="25"/>
      <c r="R46" s="25"/>
      <c r="S46" s="25"/>
      <c r="T46" s="25"/>
      <c r="U46" s="25"/>
      <c r="V46" s="25"/>
      <c r="W46" s="25"/>
      <c r="X46" s="25"/>
      <c r="Y46" s="25"/>
      <c r="Z46" s="25"/>
      <c r="AA46" s="25"/>
    </row>
    <row r="47" spans="1:27" ht="13.2">
      <c r="A47" s="302" t="s">
        <v>384</v>
      </c>
      <c r="B47" s="332">
        <f ca="1">DATEDIF(B37,B38,"M")</f>
        <v>1</v>
      </c>
      <c r="C47" s="302"/>
      <c r="H47" s="25"/>
      <c r="I47" s="25"/>
      <c r="J47" s="25"/>
      <c r="K47" s="25"/>
      <c r="L47" s="25"/>
      <c r="M47" s="25"/>
      <c r="N47" s="25"/>
      <c r="O47" s="25"/>
      <c r="P47" s="25"/>
      <c r="Q47" s="25"/>
      <c r="R47" s="25"/>
      <c r="S47" s="25"/>
      <c r="T47" s="25"/>
      <c r="U47" s="25"/>
      <c r="V47" s="25"/>
      <c r="W47" s="25"/>
      <c r="X47" s="25"/>
      <c r="Y47" s="25"/>
      <c r="Z47" s="25"/>
      <c r="AA47" s="25"/>
    </row>
    <row r="48" spans="1:27" ht="13.2">
      <c r="A48" s="25"/>
      <c r="B48" s="8"/>
      <c r="C48" s="302"/>
      <c r="G48" s="25"/>
      <c r="H48" s="25"/>
      <c r="I48" s="25"/>
      <c r="J48" s="25"/>
      <c r="K48" s="25"/>
      <c r="L48" s="25"/>
      <c r="M48" s="25"/>
      <c r="N48" s="25"/>
      <c r="O48" s="25"/>
      <c r="P48" s="25"/>
      <c r="Q48" s="25"/>
      <c r="R48" s="25"/>
      <c r="S48" s="25"/>
      <c r="T48" s="25"/>
      <c r="U48" s="25"/>
      <c r="V48" s="25"/>
      <c r="W48" s="25"/>
      <c r="X48" s="25"/>
      <c r="Y48" s="25"/>
      <c r="Z48" s="25"/>
      <c r="AA48" s="25"/>
    </row>
    <row r="49" spans="1:27" ht="13.2">
      <c r="A49" s="312"/>
      <c r="B49" s="333"/>
      <c r="C49" s="312"/>
      <c r="D49" s="312"/>
      <c r="E49" s="312"/>
      <c r="F49" s="312"/>
      <c r="G49" s="312"/>
      <c r="H49" s="312"/>
      <c r="I49" s="312"/>
      <c r="J49" s="312"/>
      <c r="K49" s="312"/>
      <c r="L49" s="312"/>
      <c r="M49" s="312"/>
      <c r="N49" s="312"/>
      <c r="O49" s="312"/>
      <c r="P49" s="25"/>
      <c r="Q49" s="25"/>
      <c r="R49" s="25"/>
      <c r="S49" s="25"/>
      <c r="T49" s="25"/>
      <c r="U49" s="25"/>
      <c r="V49" s="25"/>
      <c r="W49" s="25"/>
      <c r="X49" s="25"/>
      <c r="Y49" s="25"/>
      <c r="Z49" s="25"/>
      <c r="AA49" s="25"/>
    </row>
    <row r="50" spans="1:27" ht="13.2">
      <c r="A50" s="25"/>
      <c r="B50" s="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13.2">
      <c r="A51" s="334"/>
      <c r="B51" s="335"/>
      <c r="C51" s="336" t="s">
        <v>385</v>
      </c>
      <c r="D51" s="337" t="s">
        <v>386</v>
      </c>
      <c r="E51" s="337" t="s">
        <v>387</v>
      </c>
      <c r="F51" s="337" t="s">
        <v>388</v>
      </c>
      <c r="G51" s="338"/>
      <c r="H51" s="339"/>
      <c r="I51" s="339"/>
      <c r="J51" s="339"/>
      <c r="K51" s="339"/>
      <c r="L51" s="339"/>
      <c r="M51" s="339"/>
      <c r="N51" s="340"/>
      <c r="O51" s="341">
        <f ca="1">YEAR(B37)</f>
        <v>2023</v>
      </c>
      <c r="P51" s="25"/>
      <c r="Q51" s="25"/>
      <c r="R51" s="25"/>
      <c r="S51" s="25"/>
      <c r="T51" s="25"/>
      <c r="U51" s="25"/>
      <c r="V51" s="25"/>
      <c r="W51" s="25"/>
      <c r="X51" s="25"/>
      <c r="Y51" s="25"/>
      <c r="Z51" s="25"/>
      <c r="AA51" s="25"/>
    </row>
    <row r="52" spans="1:27" ht="13.2" hidden="1">
      <c r="A52" s="342" t="s">
        <v>389</v>
      </c>
      <c r="B52" s="343"/>
      <c r="C52" s="344"/>
      <c r="D52" s="345"/>
      <c r="E52" s="345"/>
      <c r="F52" s="345"/>
      <c r="G52" s="346"/>
      <c r="H52" s="347"/>
      <c r="I52" s="347"/>
      <c r="J52" s="347"/>
      <c r="K52" s="347"/>
      <c r="L52" s="347"/>
      <c r="M52" s="347"/>
      <c r="N52" s="348"/>
      <c r="O52" s="349"/>
      <c r="P52" s="25"/>
      <c r="Q52" s="25"/>
      <c r="R52" s="25"/>
      <c r="S52" s="25"/>
      <c r="T52" s="25"/>
      <c r="U52" s="25"/>
      <c r="V52" s="25"/>
      <c r="W52" s="25"/>
      <c r="X52" s="25"/>
      <c r="Y52" s="25"/>
      <c r="Z52" s="25"/>
      <c r="AA52" s="25"/>
    </row>
    <row r="53" spans="1:27" ht="13.2" hidden="1">
      <c r="A53" s="350" t="s">
        <v>390</v>
      </c>
      <c r="B53" s="351"/>
      <c r="C53" s="352">
        <f t="shared" ref="C53:F53" si="0">C52+C58+C54</f>
        <v>260000</v>
      </c>
      <c r="D53" s="353">
        <f t="shared" si="0"/>
        <v>108000</v>
      </c>
      <c r="E53" s="353">
        <f t="shared" si="0"/>
        <v>40000</v>
      </c>
      <c r="F53" s="353">
        <f t="shared" si="0"/>
        <v>10000</v>
      </c>
      <c r="G53" s="354"/>
      <c r="H53" s="355"/>
      <c r="I53" s="355"/>
      <c r="J53" s="355"/>
      <c r="K53" s="355"/>
      <c r="L53" s="355"/>
      <c r="M53" s="355"/>
      <c r="N53" s="356"/>
      <c r="O53" s="357"/>
      <c r="P53" s="25"/>
      <c r="Q53" s="25"/>
      <c r="R53" s="25"/>
      <c r="S53" s="25"/>
      <c r="T53" s="25"/>
      <c r="U53" s="25"/>
      <c r="V53" s="25"/>
      <c r="W53" s="25"/>
      <c r="X53" s="25"/>
      <c r="Y53" s="25"/>
      <c r="Z53" s="25"/>
      <c r="AA53" s="25"/>
    </row>
    <row r="54" spans="1:27" ht="13.2" hidden="1">
      <c r="A54" s="350" t="s">
        <v>391</v>
      </c>
      <c r="B54" s="351"/>
      <c r="C54" s="358"/>
      <c r="D54" s="359"/>
      <c r="E54" s="359"/>
      <c r="F54" s="359"/>
      <c r="G54" s="354"/>
      <c r="H54" s="355"/>
      <c r="I54" s="355"/>
      <c r="J54" s="355"/>
      <c r="K54" s="355"/>
      <c r="L54" s="355"/>
      <c r="M54" s="355"/>
      <c r="N54" s="356"/>
      <c r="O54" s="357"/>
      <c r="P54" s="25"/>
      <c r="Q54" s="25"/>
      <c r="R54" s="25"/>
      <c r="S54" s="25"/>
      <c r="T54" s="25"/>
      <c r="U54" s="25"/>
      <c r="V54" s="25"/>
      <c r="W54" s="25"/>
      <c r="X54" s="25"/>
      <c r="Y54" s="25"/>
      <c r="Z54" s="25"/>
      <c r="AA54" s="25"/>
    </row>
    <row r="55" spans="1:27" ht="13.2" hidden="1">
      <c r="A55" s="350" t="s">
        <v>392</v>
      </c>
      <c r="B55" s="351"/>
      <c r="C55" s="358"/>
      <c r="D55" s="359"/>
      <c r="E55" s="359"/>
      <c r="F55" s="359"/>
      <c r="G55" s="354"/>
      <c r="H55" s="355"/>
      <c r="I55" s="355"/>
      <c r="J55" s="355"/>
      <c r="K55" s="355"/>
      <c r="L55" s="355"/>
      <c r="M55" s="355"/>
      <c r="N55" s="356"/>
      <c r="O55" s="357"/>
      <c r="P55" s="25"/>
      <c r="Q55" s="25"/>
      <c r="R55" s="25"/>
      <c r="S55" s="25"/>
      <c r="T55" s="25"/>
      <c r="U55" s="25"/>
      <c r="V55" s="25"/>
      <c r="W55" s="25"/>
      <c r="X55" s="25"/>
      <c r="Y55" s="25"/>
      <c r="Z55" s="25"/>
      <c r="AA55" s="25"/>
    </row>
    <row r="56" spans="1:27" ht="13.2">
      <c r="A56" s="350" t="s">
        <v>393</v>
      </c>
      <c r="B56" s="351"/>
      <c r="C56" s="360">
        <f t="shared" ref="C56:F56" si="1">$B$35/4</f>
        <v>250000</v>
      </c>
      <c r="D56" s="361">
        <f t="shared" si="1"/>
        <v>250000</v>
      </c>
      <c r="E56" s="361">
        <f t="shared" si="1"/>
        <v>250000</v>
      </c>
      <c r="F56" s="361">
        <f t="shared" si="1"/>
        <v>250000</v>
      </c>
      <c r="G56" s="354"/>
      <c r="H56" s="355"/>
      <c r="I56" s="355"/>
      <c r="J56" s="355"/>
      <c r="K56" s="355"/>
      <c r="L56" s="355"/>
      <c r="M56" s="355"/>
      <c r="N56" s="356"/>
      <c r="O56" s="362">
        <f t="shared" ref="O56:O68" si="2">SUM(C56:N56)</f>
        <v>1000000</v>
      </c>
      <c r="P56" s="25"/>
      <c r="Q56" s="25"/>
      <c r="R56" s="25"/>
      <c r="S56" s="25"/>
      <c r="T56" s="25"/>
      <c r="U56" s="25"/>
      <c r="V56" s="25"/>
      <c r="W56" s="25"/>
      <c r="X56" s="25"/>
      <c r="Y56" s="25"/>
      <c r="Z56" s="25"/>
      <c r="AA56" s="25"/>
    </row>
    <row r="57" spans="1:27" ht="13.2">
      <c r="A57" s="350" t="s">
        <v>394</v>
      </c>
      <c r="B57" s="351"/>
      <c r="C57" s="363">
        <v>600000</v>
      </c>
      <c r="D57" s="364">
        <v>480000</v>
      </c>
      <c r="E57" s="364">
        <v>200000</v>
      </c>
      <c r="F57" s="365">
        <v>100000</v>
      </c>
      <c r="G57" s="354"/>
      <c r="H57" s="355"/>
      <c r="I57" s="355"/>
      <c r="J57" s="355"/>
      <c r="K57" s="355"/>
      <c r="L57" s="355"/>
      <c r="M57" s="355"/>
      <c r="N57" s="356"/>
      <c r="O57" s="362">
        <f t="shared" si="2"/>
        <v>1380000</v>
      </c>
      <c r="P57" s="25"/>
      <c r="Q57" s="25"/>
      <c r="R57" s="25"/>
      <c r="S57" s="25"/>
      <c r="T57" s="25"/>
      <c r="U57" s="25"/>
      <c r="V57" s="25"/>
      <c r="W57" s="25"/>
      <c r="X57" s="25"/>
      <c r="Y57" s="25"/>
      <c r="Z57" s="25"/>
      <c r="AA57" s="25"/>
    </row>
    <row r="58" spans="1:27" ht="13.2">
      <c r="A58" s="350" t="s">
        <v>395</v>
      </c>
      <c r="B58" s="351"/>
      <c r="C58" s="363">
        <v>260000</v>
      </c>
      <c r="D58" s="364">
        <v>108000</v>
      </c>
      <c r="E58" s="364">
        <v>40000</v>
      </c>
      <c r="F58" s="365">
        <v>10000</v>
      </c>
      <c r="G58" s="354"/>
      <c r="H58" s="355"/>
      <c r="I58" s="355"/>
      <c r="J58" s="355"/>
      <c r="K58" s="355"/>
      <c r="L58" s="355"/>
      <c r="M58" s="355"/>
      <c r="N58" s="356"/>
      <c r="O58" s="362">
        <f t="shared" si="2"/>
        <v>418000</v>
      </c>
      <c r="P58" s="25"/>
      <c r="Q58" s="25"/>
      <c r="R58" s="25"/>
      <c r="S58" s="25"/>
      <c r="T58" s="25"/>
      <c r="U58" s="25"/>
      <c r="V58" s="25"/>
      <c r="W58" s="25"/>
      <c r="X58" s="25"/>
      <c r="Y58" s="25"/>
      <c r="Z58" s="25"/>
      <c r="AA58" s="25"/>
    </row>
    <row r="59" spans="1:27" ht="13.2">
      <c r="A59" s="350" t="s">
        <v>396</v>
      </c>
      <c r="B59" s="351"/>
      <c r="C59" s="363">
        <v>230000</v>
      </c>
      <c r="D59" s="364">
        <v>80000</v>
      </c>
      <c r="E59" s="364">
        <v>30000</v>
      </c>
      <c r="F59" s="365">
        <v>8000</v>
      </c>
      <c r="G59" s="354"/>
      <c r="H59" s="355"/>
      <c r="I59" s="355"/>
      <c r="J59" s="355"/>
      <c r="K59" s="355"/>
      <c r="L59" s="355"/>
      <c r="M59" s="355"/>
      <c r="N59" s="356"/>
      <c r="O59" s="362">
        <f t="shared" si="2"/>
        <v>348000</v>
      </c>
      <c r="P59" s="25"/>
      <c r="Q59" s="25"/>
      <c r="R59" s="25"/>
      <c r="S59" s="25"/>
      <c r="T59" s="25"/>
      <c r="U59" s="25"/>
      <c r="V59" s="25"/>
      <c r="W59" s="25"/>
      <c r="X59" s="25"/>
      <c r="Y59" s="25"/>
      <c r="Z59" s="25"/>
      <c r="AA59" s="25"/>
    </row>
    <row r="60" spans="1:27" ht="13.2">
      <c r="A60" s="350" t="s">
        <v>397</v>
      </c>
      <c r="B60" s="351"/>
      <c r="C60" s="363">
        <v>230000</v>
      </c>
      <c r="D60" s="364">
        <v>65000</v>
      </c>
      <c r="E60" s="364">
        <v>30000</v>
      </c>
      <c r="F60" s="365">
        <v>8000</v>
      </c>
      <c r="G60" s="354"/>
      <c r="H60" s="355"/>
      <c r="I60" s="355"/>
      <c r="J60" s="355"/>
      <c r="K60" s="355"/>
      <c r="L60" s="355"/>
      <c r="M60" s="355"/>
      <c r="N60" s="356"/>
      <c r="O60" s="362">
        <f t="shared" si="2"/>
        <v>333000</v>
      </c>
      <c r="P60" s="25"/>
      <c r="Q60" s="25"/>
      <c r="R60" s="25"/>
      <c r="S60" s="25"/>
      <c r="T60" s="25"/>
      <c r="U60" s="25"/>
      <c r="V60" s="25"/>
      <c r="W60" s="25"/>
      <c r="X60" s="25"/>
      <c r="Y60" s="25"/>
      <c r="Z60" s="25"/>
      <c r="AA60" s="25"/>
    </row>
    <row r="61" spans="1:27" ht="13.2">
      <c r="A61" s="350" t="s">
        <v>398</v>
      </c>
      <c r="B61" s="351"/>
      <c r="C61" s="366">
        <v>240000</v>
      </c>
      <c r="D61" s="364">
        <v>145000</v>
      </c>
      <c r="E61" s="364">
        <v>50000</v>
      </c>
      <c r="F61" s="365">
        <v>20000</v>
      </c>
      <c r="G61" s="354"/>
      <c r="H61" s="355"/>
      <c r="I61" s="355"/>
      <c r="J61" s="355"/>
      <c r="K61" s="355"/>
      <c r="L61" s="355"/>
      <c r="M61" s="355"/>
      <c r="N61" s="356"/>
      <c r="O61" s="362">
        <f t="shared" si="2"/>
        <v>455000</v>
      </c>
      <c r="P61" s="25"/>
      <c r="Q61" s="25"/>
      <c r="R61" s="25"/>
      <c r="S61" s="25"/>
      <c r="T61" s="25"/>
      <c r="U61" s="25"/>
      <c r="V61" s="25"/>
      <c r="W61" s="25"/>
      <c r="X61" s="25"/>
      <c r="Y61" s="25"/>
      <c r="Z61" s="25"/>
      <c r="AA61" s="25"/>
    </row>
    <row r="62" spans="1:27" ht="13.2">
      <c r="A62" s="367" t="s">
        <v>399</v>
      </c>
      <c r="B62" s="368"/>
      <c r="C62" s="369">
        <f>AVERAGE(C58:C61)</f>
        <v>240000</v>
      </c>
      <c r="D62" s="370">
        <f t="shared" ref="D62:F62" si="3">(D58+D59+D61)/4</f>
        <v>83250</v>
      </c>
      <c r="E62" s="370">
        <f t="shared" si="3"/>
        <v>30000</v>
      </c>
      <c r="F62" s="371">
        <f t="shared" si="3"/>
        <v>9500</v>
      </c>
      <c r="G62" s="372"/>
      <c r="H62" s="373"/>
      <c r="I62" s="373"/>
      <c r="J62" s="373"/>
      <c r="K62" s="373"/>
      <c r="L62" s="373"/>
      <c r="M62" s="373"/>
      <c r="N62" s="374"/>
      <c r="O62" s="375">
        <f t="shared" si="2"/>
        <v>362750</v>
      </c>
      <c r="P62" s="25"/>
      <c r="Q62" s="25"/>
      <c r="R62" s="25"/>
      <c r="S62" s="25"/>
      <c r="T62" s="25"/>
      <c r="U62" s="25"/>
      <c r="V62" s="25"/>
      <c r="W62" s="25"/>
      <c r="X62" s="25"/>
      <c r="Y62" s="25"/>
      <c r="Z62" s="25"/>
      <c r="AA62" s="25"/>
    </row>
    <row r="63" spans="1:27" ht="13.2">
      <c r="A63" s="376" t="s">
        <v>400</v>
      </c>
      <c r="B63" s="377"/>
      <c r="C63" s="378">
        <f t="shared" ref="C63:F63" si="4">C56-C62</f>
        <v>10000</v>
      </c>
      <c r="D63" s="379">
        <f t="shared" si="4"/>
        <v>166750</v>
      </c>
      <c r="E63" s="379">
        <f t="shared" si="4"/>
        <v>220000</v>
      </c>
      <c r="F63" s="380">
        <f t="shared" si="4"/>
        <v>240500</v>
      </c>
      <c r="G63" s="381"/>
      <c r="H63" s="382"/>
      <c r="I63" s="382"/>
      <c r="J63" s="382"/>
      <c r="K63" s="382"/>
      <c r="L63" s="382"/>
      <c r="M63" s="382"/>
      <c r="N63" s="383"/>
      <c r="O63" s="384">
        <f t="shared" si="2"/>
        <v>637250</v>
      </c>
      <c r="P63" s="25"/>
      <c r="Q63" s="25"/>
      <c r="R63" s="25"/>
      <c r="S63" s="25"/>
      <c r="T63" s="25"/>
      <c r="U63" s="25"/>
      <c r="V63" s="25"/>
      <c r="W63" s="25"/>
      <c r="X63" s="25"/>
      <c r="Y63" s="25"/>
      <c r="Z63" s="25"/>
      <c r="AA63" s="25"/>
    </row>
    <row r="64" spans="1:27" ht="13.2">
      <c r="A64" s="385" t="s">
        <v>401</v>
      </c>
      <c r="B64" s="386"/>
      <c r="C64" s="387">
        <f>SUM(C63:F63)</f>
        <v>637250</v>
      </c>
      <c r="D64" s="250"/>
      <c r="E64" s="250"/>
      <c r="F64" s="251"/>
      <c r="G64" s="388"/>
      <c r="H64" s="389"/>
      <c r="I64" s="389"/>
      <c r="J64" s="389"/>
      <c r="K64" s="389"/>
      <c r="L64" s="389"/>
      <c r="M64" s="389"/>
      <c r="N64" s="390"/>
      <c r="O64" s="391">
        <f t="shared" si="2"/>
        <v>637250</v>
      </c>
      <c r="P64" s="25"/>
      <c r="Q64" s="25"/>
      <c r="R64" s="25"/>
      <c r="S64" s="25"/>
      <c r="T64" s="25"/>
      <c r="U64" s="25"/>
      <c r="V64" s="25"/>
      <c r="W64" s="25"/>
      <c r="X64" s="25"/>
      <c r="Y64" s="25"/>
      <c r="Z64" s="25"/>
      <c r="AA64" s="25"/>
    </row>
    <row r="65" spans="1:27" ht="13.2">
      <c r="A65" s="376" t="s">
        <v>402</v>
      </c>
      <c r="B65" s="392"/>
      <c r="C65" s="387">
        <f>C64/D36</f>
        <v>2130539.166666667</v>
      </c>
      <c r="D65" s="250"/>
      <c r="E65" s="250"/>
      <c r="F65" s="251"/>
      <c r="G65" s="388"/>
      <c r="H65" s="389"/>
      <c r="I65" s="389"/>
      <c r="J65" s="389"/>
      <c r="K65" s="389"/>
      <c r="L65" s="389"/>
      <c r="M65" s="389"/>
      <c r="N65" s="390"/>
      <c r="O65" s="384">
        <f t="shared" si="2"/>
        <v>2130539.166666667</v>
      </c>
      <c r="P65" s="25"/>
      <c r="Q65" s="25"/>
      <c r="R65" s="25"/>
      <c r="S65" s="25"/>
      <c r="T65" s="25"/>
      <c r="U65" s="25"/>
      <c r="V65" s="25"/>
      <c r="W65" s="25"/>
      <c r="X65" s="25"/>
      <c r="Y65" s="25"/>
      <c r="Z65" s="25"/>
      <c r="AA65" s="25"/>
    </row>
    <row r="66" spans="1:27" ht="13.2">
      <c r="A66" s="393" t="s">
        <v>403</v>
      </c>
      <c r="B66" s="351"/>
      <c r="C66" s="394">
        <f ca="1">C65/(B47-D35/30)</f>
        <v>-1278323.5000000002</v>
      </c>
      <c r="D66" s="250"/>
      <c r="E66" s="250"/>
      <c r="F66" s="251"/>
      <c r="G66" s="395" t="s">
        <v>404</v>
      </c>
      <c r="H66" s="355"/>
      <c r="I66" s="355"/>
      <c r="J66" s="355"/>
      <c r="K66" s="355"/>
      <c r="L66" s="355"/>
      <c r="M66" s="355"/>
      <c r="N66" s="356"/>
      <c r="O66" s="396">
        <f t="shared" ca="1" si="2"/>
        <v>-1278323.5000000002</v>
      </c>
      <c r="P66" s="25"/>
      <c r="Q66" s="25"/>
      <c r="R66" s="25"/>
      <c r="S66" s="25"/>
      <c r="T66" s="25"/>
      <c r="U66" s="25"/>
      <c r="V66" s="25"/>
      <c r="W66" s="25"/>
      <c r="X66" s="25"/>
      <c r="Y66" s="25"/>
      <c r="Z66" s="25"/>
      <c r="AA66" s="25"/>
    </row>
    <row r="67" spans="1:27" ht="13.2">
      <c r="A67" s="393" t="s">
        <v>405</v>
      </c>
      <c r="B67" s="351"/>
      <c r="C67" s="394">
        <f ca="1">C65/(B46-D35/7)</f>
        <v>-621407.2569444445</v>
      </c>
      <c r="D67" s="250"/>
      <c r="E67" s="250"/>
      <c r="F67" s="251"/>
      <c r="G67" s="395" t="s">
        <v>404</v>
      </c>
      <c r="H67" s="355"/>
      <c r="I67" s="355"/>
      <c r="J67" s="355"/>
      <c r="K67" s="355"/>
      <c r="L67" s="355"/>
      <c r="M67" s="355"/>
      <c r="N67" s="356"/>
      <c r="O67" s="396">
        <f t="shared" ca="1" si="2"/>
        <v>-621407.2569444445</v>
      </c>
      <c r="P67" s="25"/>
      <c r="Q67" s="25"/>
      <c r="R67" s="25"/>
      <c r="S67" s="25"/>
      <c r="T67" s="25"/>
      <c r="U67" s="25"/>
      <c r="V67" s="25"/>
      <c r="W67" s="25"/>
      <c r="X67" s="25"/>
      <c r="Y67" s="25"/>
      <c r="Z67" s="25"/>
      <c r="AA67" s="25"/>
    </row>
    <row r="68" spans="1:27" ht="13.2">
      <c r="A68" s="397" t="s">
        <v>406</v>
      </c>
      <c r="B68" s="368"/>
      <c r="C68" s="398">
        <f ca="1">C65/(B45-D35)</f>
        <v>-53263.479166666672</v>
      </c>
      <c r="D68" s="399"/>
      <c r="E68" s="399"/>
      <c r="F68" s="400"/>
      <c r="G68" s="401" t="s">
        <v>404</v>
      </c>
      <c r="H68" s="402"/>
      <c r="I68" s="402"/>
      <c r="J68" s="402"/>
      <c r="K68" s="402"/>
      <c r="L68" s="402"/>
      <c r="M68" s="402"/>
      <c r="N68" s="403"/>
      <c r="O68" s="404">
        <f t="shared" ca="1" si="2"/>
        <v>-53263.479166666672</v>
      </c>
      <c r="P68" s="25"/>
      <c r="Q68" s="25"/>
      <c r="R68" s="25"/>
      <c r="S68" s="25"/>
      <c r="T68" s="25"/>
      <c r="U68" s="25"/>
      <c r="V68" s="25"/>
      <c r="W68" s="25"/>
      <c r="X68" s="25"/>
      <c r="Y68" s="25"/>
      <c r="Z68" s="25"/>
      <c r="AA68" s="25"/>
    </row>
    <row r="69" spans="1:27" ht="13.2">
      <c r="A69" s="405" t="s">
        <v>407</v>
      </c>
      <c r="B69" s="406"/>
      <c r="C69" s="407">
        <f>EOMONTH($B$36,0)</f>
        <v>44957</v>
      </c>
      <c r="D69" s="408">
        <f>EOMONTH($B$36,1)</f>
        <v>44985</v>
      </c>
      <c r="E69" s="408">
        <f>EOMONTH($B$36,2)</f>
        <v>45016</v>
      </c>
      <c r="F69" s="408">
        <f>EOMONTH($B$36,3)</f>
        <v>45046</v>
      </c>
      <c r="G69" s="408">
        <f>EOMONTH($B$36,4)</f>
        <v>45077</v>
      </c>
      <c r="H69" s="408">
        <f>EOMONTH($B$36,5)</f>
        <v>45107</v>
      </c>
      <c r="I69" s="408">
        <f>EOMONTH($B$36,6)</f>
        <v>45138</v>
      </c>
      <c r="J69" s="408">
        <f>EOMONTH($B$36,7)</f>
        <v>45169</v>
      </c>
      <c r="K69" s="408">
        <f>EOMONTH($B$36,8)</f>
        <v>45199</v>
      </c>
      <c r="L69" s="408">
        <f>EOMONTH($B$36,9)</f>
        <v>45230</v>
      </c>
      <c r="M69" s="408">
        <f>EOMONTH($B$36,10)</f>
        <v>45260</v>
      </c>
      <c r="N69" s="409">
        <f>EOMONTH($B$36,11)</f>
        <v>45291</v>
      </c>
      <c r="O69" s="410"/>
      <c r="P69" s="25"/>
      <c r="Q69" s="25"/>
      <c r="R69" s="25"/>
      <c r="S69" s="25"/>
      <c r="T69" s="25"/>
      <c r="U69" s="25"/>
      <c r="V69" s="25"/>
      <c r="W69" s="25"/>
      <c r="X69" s="25"/>
      <c r="Y69" s="25"/>
      <c r="Z69" s="25"/>
      <c r="AA69" s="25"/>
    </row>
    <row r="70" spans="1:27" ht="13.2">
      <c r="A70" s="411" t="s">
        <v>408</v>
      </c>
      <c r="B70" s="343"/>
      <c r="C70" s="412" cm="1">
        <f t="array" aca="1" ref="C70" ca="1">_xlfn.IFS(MONTH($B$37)&gt;MONTH(C69),0,MONTH($B$37)=MONTH(C69),(C69-$B$37)/7,MONTH($B$37)&lt;MONTH(C69),(D69-C69)/7)</f>
        <v>0</v>
      </c>
      <c r="D70" s="412" cm="1">
        <f t="array" aca="1" ref="D70" ca="1">_xlfn.IFS(MONTH($B$37)&gt;MONTH(D69),0,MONTH($B$37)=MONTH(D69),(D69-$B$37)/7,MONTH($B$37)&lt;MONTH(D69),(E69-D69)/7)</f>
        <v>0</v>
      </c>
      <c r="E70" s="412" cm="1">
        <f t="array" aca="1" ref="E70" ca="1">_xlfn.IFS(MONTH($B$37)&gt;MONTH(E69),0,MONTH($B$37)=MONTH(E69),(E69-$B$37)/7,MONTH($B$37)&lt;MONTH(E69),(F69-E69)/7)</f>
        <v>0</v>
      </c>
      <c r="F70" s="412" cm="1">
        <f t="array" aca="1" ref="F70" ca="1">_xlfn.IFS(MONTH($B$37)&gt;MONTH(F69),0,MONTH($B$37)=MONTH(F69),(F69-$B$37)/7,MONTH($B$37)&lt;MONTH(F69),(G69-F69)/7)</f>
        <v>0</v>
      </c>
      <c r="G70" s="412" cm="1">
        <f t="array" aca="1" ref="G70" ca="1">_xlfn.IFS(MONTH($B$37)&gt;MONTH(G69),0,MONTH($B$37)=MONTH(G69),(G69-$B$37)/7,MONTH($B$37)&lt;MONTH(G69),(H69-G69)/7)</f>
        <v>0</v>
      </c>
      <c r="H70" s="412" cm="1">
        <f t="array" aca="1" ref="H70" ca="1">_xlfn.IFS(MONTH($B$37)&gt;MONTH(H69),0,MONTH($B$37)=MONTH(H69),(H69-$B$37)/7,MONTH($B$37)&lt;MONTH(H69),(I69-H69)/7)</f>
        <v>0</v>
      </c>
      <c r="I70" s="412" cm="1">
        <f t="array" aca="1" ref="I70" ca="1">_xlfn.IFS(MONTH($B$37)&gt;MONTH(I69),0,MONTH($B$37)=MONTH(I69),(I69-$B$37)/7,MONTH($B$37)&lt;MONTH(I69),(J69-I69)/7)</f>
        <v>0</v>
      </c>
      <c r="J70" s="412" cm="1">
        <f t="array" aca="1" ref="J70" ca="1">_xlfn.IFS(MONTH($B$37)&gt;MONTH(J69),0,MONTH($B$37)=MONTH(J69),(J69-$B$37)/7,MONTH($B$37)&lt;MONTH(J69),(K69-J69)/7)</f>
        <v>0</v>
      </c>
      <c r="K70" s="412" cm="1">
        <f t="array" aca="1" ref="K70" ca="1">_xlfn.IFS(MONTH($B$37)&gt;MONTH(K69),0,MONTH($B$37)=MONTH(K69),(K69-$B$37)/7,MONTH($B$37)&lt;MONTH(K69),(L69-K69)/7)</f>
        <v>0</v>
      </c>
      <c r="L70" s="412" cm="1">
        <f t="array" aca="1" ref="L70" ca="1">_xlfn.IFS(MONTH($B$37)&gt;MONTH(L69),0,MONTH($B$37)=MONTH(L69),(L69-$B$37)/7,MONTH($B$37)&lt;MONTH(L69),(M69-L69)/7)</f>
        <v>0</v>
      </c>
      <c r="M70" s="412" cm="1">
        <f t="array" aca="1" ref="M70" ca="1">_xlfn.IFS(MONTH($B$37)&gt;MONTH(M69),0,MONTH($B$37)=MONTH(M69),(M69-$B$37)/7,MONTH($B$37)&lt;MONTH(M69),(N69-M69)/7)</f>
        <v>3.4285714285714284</v>
      </c>
      <c r="N70" s="412" cm="1">
        <f t="array" aca="1" ref="N70" ca="1">_xlfn.IFS(MONTH($B$37)&gt;MONTH(N69),0,MONTH($B$37)=MONTH(N69),(N69-$B$37),MONTH($B$37)&lt;MONTH(N69),(N69-M69)/7)</f>
        <v>4.4285714285714288</v>
      </c>
      <c r="O70" s="413">
        <f t="shared" ref="O70:O71" ca="1" si="5">SUM(C70:N70)</f>
        <v>7.8571428571428577</v>
      </c>
      <c r="P70" s="25"/>
      <c r="Q70" s="25"/>
      <c r="R70" s="25"/>
      <c r="S70" s="25"/>
      <c r="T70" s="25"/>
      <c r="U70" s="25"/>
      <c r="V70" s="25"/>
      <c r="W70" s="25"/>
      <c r="X70" s="25"/>
      <c r="Y70" s="25"/>
      <c r="Z70" s="25"/>
      <c r="AA70" s="25"/>
    </row>
    <row r="71" spans="1:27" ht="13.2">
      <c r="A71" s="414" t="s">
        <v>407</v>
      </c>
      <c r="B71" s="368"/>
      <c r="C71" s="415">
        <f ca="1">$C$67*C70</f>
        <v>0</v>
      </c>
      <c r="D71" s="416">
        <f t="shared" ref="D71:N71" ca="1" si="6">$C$67*D70</f>
        <v>0</v>
      </c>
      <c r="E71" s="416">
        <f t="shared" ca="1" si="6"/>
        <v>0</v>
      </c>
      <c r="F71" s="416">
        <f t="shared" ca="1" si="6"/>
        <v>0</v>
      </c>
      <c r="G71" s="416">
        <f t="shared" ca="1" si="6"/>
        <v>0</v>
      </c>
      <c r="H71" s="416">
        <f t="shared" ca="1" si="6"/>
        <v>0</v>
      </c>
      <c r="I71" s="416">
        <f t="shared" ca="1" si="6"/>
        <v>0</v>
      </c>
      <c r="J71" s="416">
        <f t="shared" ca="1" si="6"/>
        <v>0</v>
      </c>
      <c r="K71" s="416">
        <f t="shared" ca="1" si="6"/>
        <v>0</v>
      </c>
      <c r="L71" s="416">
        <f t="shared" ca="1" si="6"/>
        <v>0</v>
      </c>
      <c r="M71" s="416">
        <f t="shared" ca="1" si="6"/>
        <v>-2130539.1666666665</v>
      </c>
      <c r="N71" s="417">
        <f t="shared" ca="1" si="6"/>
        <v>-2751946.4236111115</v>
      </c>
      <c r="O71" s="418">
        <f t="shared" ca="1" si="5"/>
        <v>-4882485.590277778</v>
      </c>
      <c r="P71" s="25"/>
      <c r="Q71" s="25"/>
      <c r="R71" s="25"/>
      <c r="S71" s="25"/>
      <c r="T71" s="25"/>
      <c r="U71" s="25"/>
      <c r="V71" s="25"/>
      <c r="W71" s="25"/>
      <c r="X71" s="25"/>
      <c r="Y71" s="25"/>
      <c r="Z71" s="25"/>
      <c r="AA71" s="25"/>
    </row>
    <row r="72" spans="1:27" ht="13.2">
      <c r="A72" s="405" t="s">
        <v>409</v>
      </c>
      <c r="B72" s="419">
        <f>SUM(B73:B76)</f>
        <v>1</v>
      </c>
      <c r="C72" s="420"/>
      <c r="D72" s="420"/>
      <c r="E72" s="420"/>
      <c r="F72" s="420"/>
      <c r="G72" s="420"/>
      <c r="H72" s="420"/>
      <c r="I72" s="420"/>
      <c r="J72" s="420"/>
      <c r="K72" s="420"/>
      <c r="L72" s="420"/>
      <c r="M72" s="420"/>
      <c r="N72" s="421"/>
      <c r="O72" s="422"/>
      <c r="P72" s="25"/>
      <c r="Q72" s="25"/>
      <c r="R72" s="25"/>
      <c r="S72" s="25"/>
      <c r="T72" s="25"/>
      <c r="U72" s="25"/>
      <c r="V72" s="25"/>
      <c r="W72" s="25"/>
      <c r="X72" s="25"/>
      <c r="Y72" s="25"/>
      <c r="Z72" s="25"/>
      <c r="AA72" s="25"/>
    </row>
    <row r="73" spans="1:27" ht="13.2">
      <c r="A73" s="423" t="s">
        <v>410</v>
      </c>
      <c r="B73" s="424">
        <v>0.3</v>
      </c>
      <c r="C73" s="425">
        <f ca="1">C71*$B$73</f>
        <v>0</v>
      </c>
      <c r="D73" s="426">
        <f t="shared" ref="D73:N73" ca="1" si="7">D71*$B$73</f>
        <v>0</v>
      </c>
      <c r="E73" s="426">
        <f t="shared" ca="1" si="7"/>
        <v>0</v>
      </c>
      <c r="F73" s="426">
        <f t="shared" ca="1" si="7"/>
        <v>0</v>
      </c>
      <c r="G73" s="426">
        <f t="shared" ca="1" si="7"/>
        <v>0</v>
      </c>
      <c r="H73" s="426">
        <f t="shared" ca="1" si="7"/>
        <v>0</v>
      </c>
      <c r="I73" s="426">
        <f t="shared" ca="1" si="7"/>
        <v>0</v>
      </c>
      <c r="J73" s="426">
        <f t="shared" ca="1" si="7"/>
        <v>0</v>
      </c>
      <c r="K73" s="426">
        <f t="shared" ca="1" si="7"/>
        <v>0</v>
      </c>
      <c r="L73" s="426">
        <f t="shared" ca="1" si="7"/>
        <v>0</v>
      </c>
      <c r="M73" s="426">
        <f t="shared" ca="1" si="7"/>
        <v>-639161.74999999988</v>
      </c>
      <c r="N73" s="427">
        <f t="shared" ca="1" si="7"/>
        <v>-825583.92708333337</v>
      </c>
      <c r="O73" s="428">
        <f t="shared" ref="O73:O76" ca="1" si="8">B73*$O$71</f>
        <v>-1464745.6770833333</v>
      </c>
      <c r="P73" s="25"/>
      <c r="Q73" s="25"/>
      <c r="R73" s="25"/>
      <c r="S73" s="25"/>
      <c r="T73" s="25"/>
      <c r="U73" s="25"/>
      <c r="V73" s="25"/>
      <c r="W73" s="25"/>
      <c r="X73" s="25"/>
      <c r="Y73" s="25"/>
      <c r="Z73" s="25"/>
      <c r="AA73" s="25"/>
    </row>
    <row r="74" spans="1:27" ht="13.2">
      <c r="A74" s="429" t="s">
        <v>411</v>
      </c>
      <c r="B74" s="430">
        <v>0.4</v>
      </c>
      <c r="C74" s="431">
        <f t="shared" ref="C74:N74" ca="1" si="9">C71*$B$74</f>
        <v>0</v>
      </c>
      <c r="D74" s="432">
        <f t="shared" ca="1" si="9"/>
        <v>0</v>
      </c>
      <c r="E74" s="432">
        <f t="shared" ca="1" si="9"/>
        <v>0</v>
      </c>
      <c r="F74" s="432">
        <f t="shared" ca="1" si="9"/>
        <v>0</v>
      </c>
      <c r="G74" s="432">
        <f t="shared" ca="1" si="9"/>
        <v>0</v>
      </c>
      <c r="H74" s="432">
        <f t="shared" ca="1" si="9"/>
        <v>0</v>
      </c>
      <c r="I74" s="432">
        <f t="shared" ca="1" si="9"/>
        <v>0</v>
      </c>
      <c r="J74" s="432">
        <f t="shared" ca="1" si="9"/>
        <v>0</v>
      </c>
      <c r="K74" s="432">
        <f t="shared" ca="1" si="9"/>
        <v>0</v>
      </c>
      <c r="L74" s="432">
        <f t="shared" ca="1" si="9"/>
        <v>0</v>
      </c>
      <c r="M74" s="432">
        <f t="shared" ca="1" si="9"/>
        <v>-852215.66666666663</v>
      </c>
      <c r="N74" s="433">
        <f t="shared" ca="1" si="9"/>
        <v>-1100778.5694444447</v>
      </c>
      <c r="O74" s="396">
        <f t="shared" ca="1" si="8"/>
        <v>-1952994.2361111112</v>
      </c>
      <c r="P74" s="25"/>
      <c r="Q74" s="25"/>
      <c r="R74" s="25"/>
      <c r="S74" s="25"/>
      <c r="T74" s="25"/>
      <c r="U74" s="25"/>
      <c r="V74" s="25"/>
      <c r="W74" s="25"/>
      <c r="X74" s="25"/>
      <c r="Y74" s="25"/>
      <c r="Z74" s="25"/>
      <c r="AA74" s="25"/>
    </row>
    <row r="75" spans="1:27" ht="13.2">
      <c r="A75" s="429" t="s">
        <v>337</v>
      </c>
      <c r="B75" s="430">
        <v>0.25</v>
      </c>
      <c r="C75" s="431">
        <f t="shared" ref="C75:N75" ca="1" si="10">C71*$B$75</f>
        <v>0</v>
      </c>
      <c r="D75" s="432">
        <f t="shared" ca="1" si="10"/>
        <v>0</v>
      </c>
      <c r="E75" s="432">
        <f t="shared" ca="1" si="10"/>
        <v>0</v>
      </c>
      <c r="F75" s="432">
        <f t="shared" ca="1" si="10"/>
        <v>0</v>
      </c>
      <c r="G75" s="432">
        <f t="shared" ca="1" si="10"/>
        <v>0</v>
      </c>
      <c r="H75" s="432">
        <f t="shared" ca="1" si="10"/>
        <v>0</v>
      </c>
      <c r="I75" s="432">
        <f t="shared" ca="1" si="10"/>
        <v>0</v>
      </c>
      <c r="J75" s="432">
        <f t="shared" ca="1" si="10"/>
        <v>0</v>
      </c>
      <c r="K75" s="432">
        <f t="shared" ca="1" si="10"/>
        <v>0</v>
      </c>
      <c r="L75" s="432">
        <f t="shared" ca="1" si="10"/>
        <v>0</v>
      </c>
      <c r="M75" s="432">
        <f t="shared" ca="1" si="10"/>
        <v>-532634.79166666663</v>
      </c>
      <c r="N75" s="433">
        <f t="shared" ca="1" si="10"/>
        <v>-687986.60590277787</v>
      </c>
      <c r="O75" s="396">
        <f t="shared" ca="1" si="8"/>
        <v>-1220621.3975694445</v>
      </c>
      <c r="P75" s="25"/>
      <c r="Q75" s="25"/>
      <c r="R75" s="25"/>
      <c r="S75" s="25"/>
      <c r="T75" s="25"/>
      <c r="U75" s="25"/>
      <c r="V75" s="25"/>
      <c r="W75" s="25"/>
      <c r="X75" s="25"/>
      <c r="Y75" s="25"/>
      <c r="Z75" s="25"/>
      <c r="AA75" s="25"/>
    </row>
    <row r="76" spans="1:27" ht="13.2">
      <c r="A76" s="429" t="s">
        <v>412</v>
      </c>
      <c r="B76" s="430">
        <v>0.05</v>
      </c>
      <c r="C76" s="415">
        <f t="shared" ref="C76:N76" ca="1" si="11">C71*$B$76</f>
        <v>0</v>
      </c>
      <c r="D76" s="416">
        <f t="shared" ca="1" si="11"/>
        <v>0</v>
      </c>
      <c r="E76" s="416">
        <f t="shared" ca="1" si="11"/>
        <v>0</v>
      </c>
      <c r="F76" s="416">
        <f t="shared" ca="1" si="11"/>
        <v>0</v>
      </c>
      <c r="G76" s="416">
        <f t="shared" ca="1" si="11"/>
        <v>0</v>
      </c>
      <c r="H76" s="416">
        <f t="shared" ca="1" si="11"/>
        <v>0</v>
      </c>
      <c r="I76" s="416">
        <f t="shared" ca="1" si="11"/>
        <v>0</v>
      </c>
      <c r="J76" s="416">
        <f t="shared" ca="1" si="11"/>
        <v>0</v>
      </c>
      <c r="K76" s="416">
        <f t="shared" ca="1" si="11"/>
        <v>0</v>
      </c>
      <c r="L76" s="416">
        <f t="shared" ca="1" si="11"/>
        <v>0</v>
      </c>
      <c r="M76" s="416">
        <f t="shared" ca="1" si="11"/>
        <v>-106526.95833333333</v>
      </c>
      <c r="N76" s="417">
        <f t="shared" ca="1" si="11"/>
        <v>-137597.32118055559</v>
      </c>
      <c r="O76" s="404">
        <f t="shared" ca="1" si="8"/>
        <v>-244124.27951388891</v>
      </c>
      <c r="P76" s="25"/>
      <c r="Q76" s="25"/>
      <c r="R76" s="25"/>
      <c r="S76" s="25"/>
      <c r="T76" s="25"/>
      <c r="U76" s="25"/>
      <c r="V76" s="25"/>
      <c r="W76" s="25"/>
      <c r="X76" s="25"/>
      <c r="Y76" s="25"/>
      <c r="Z76" s="25"/>
      <c r="AA76" s="25"/>
    </row>
    <row r="77" spans="1:27" ht="13.2">
      <c r="A77" s="397" t="s">
        <v>413</v>
      </c>
      <c r="B77" s="368"/>
      <c r="C77" s="434">
        <f t="shared" ref="C77:N77" ca="1" si="12">C71/$D$34</f>
        <v>0</v>
      </c>
      <c r="D77" s="435">
        <f t="shared" ca="1" si="12"/>
        <v>0</v>
      </c>
      <c r="E77" s="435">
        <f t="shared" ca="1" si="12"/>
        <v>0</v>
      </c>
      <c r="F77" s="435">
        <f t="shared" ca="1" si="12"/>
        <v>0</v>
      </c>
      <c r="G77" s="435">
        <f t="shared" ca="1" si="12"/>
        <v>0</v>
      </c>
      <c r="H77" s="435">
        <f t="shared" ca="1" si="12"/>
        <v>0</v>
      </c>
      <c r="I77" s="435">
        <f t="shared" ca="1" si="12"/>
        <v>0</v>
      </c>
      <c r="J77" s="435">
        <f t="shared" ca="1" si="12"/>
        <v>0</v>
      </c>
      <c r="K77" s="435">
        <f t="shared" ca="1" si="12"/>
        <v>0</v>
      </c>
      <c r="L77" s="435">
        <f t="shared" ca="1" si="12"/>
        <v>0</v>
      </c>
      <c r="M77" s="435">
        <f t="shared" ca="1" si="12"/>
        <v>-60.872547619047616</v>
      </c>
      <c r="N77" s="436">
        <f t="shared" ca="1" si="12"/>
        <v>-78.62704067460318</v>
      </c>
      <c r="O77" s="437">
        <f ca="1">SUM(C77:N77)</f>
        <v>-139.49958829365079</v>
      </c>
      <c r="P77" s="25"/>
      <c r="Q77" s="25"/>
      <c r="R77" s="25"/>
      <c r="S77" s="25"/>
      <c r="T77" s="25"/>
      <c r="U77" s="25"/>
      <c r="V77" s="25"/>
      <c r="W77" s="25"/>
      <c r="X77" s="25"/>
      <c r="Y77" s="25"/>
      <c r="Z77" s="25"/>
      <c r="AA77" s="25"/>
    </row>
    <row r="78" spans="1:27" ht="13.2">
      <c r="A78" s="334" t="s">
        <v>414</v>
      </c>
      <c r="B78" s="419">
        <f>SUM(B79:B82)</f>
        <v>1</v>
      </c>
      <c r="C78" s="438"/>
      <c r="D78" s="439"/>
      <c r="E78" s="439"/>
      <c r="F78" s="439"/>
      <c r="G78" s="439"/>
      <c r="H78" s="439"/>
      <c r="I78" s="439"/>
      <c r="J78" s="439"/>
      <c r="K78" s="439"/>
      <c r="L78" s="439"/>
      <c r="M78" s="439"/>
      <c r="N78" s="440"/>
      <c r="O78" s="422"/>
      <c r="P78" s="25"/>
      <c r="Q78" s="25"/>
      <c r="R78" s="25"/>
      <c r="S78" s="25"/>
      <c r="T78" s="25"/>
      <c r="U78" s="25"/>
      <c r="V78" s="25"/>
      <c r="W78" s="25"/>
      <c r="X78" s="25"/>
      <c r="Y78" s="25"/>
      <c r="Z78" s="25"/>
      <c r="AA78" s="25"/>
    </row>
    <row r="79" spans="1:27" ht="13.2">
      <c r="A79" s="411" t="s">
        <v>410</v>
      </c>
      <c r="B79" s="441">
        <f t="shared" ref="B79:B82" si="13">B73</f>
        <v>0.3</v>
      </c>
      <c r="C79" s="425">
        <f ca="1">ROUNDUP(C77*$B$79,0)</f>
        <v>0</v>
      </c>
      <c r="D79" s="425">
        <f t="shared" ref="D79:N79" ca="1" si="14">ROUNDUP(D77*$B$79,0)</f>
        <v>0</v>
      </c>
      <c r="E79" s="425">
        <f t="shared" ca="1" si="14"/>
        <v>0</v>
      </c>
      <c r="F79" s="425">
        <f t="shared" ca="1" si="14"/>
        <v>0</v>
      </c>
      <c r="G79" s="425">
        <f t="shared" ca="1" si="14"/>
        <v>0</v>
      </c>
      <c r="H79" s="425">
        <f t="shared" ca="1" si="14"/>
        <v>0</v>
      </c>
      <c r="I79" s="425">
        <f t="shared" ca="1" si="14"/>
        <v>0</v>
      </c>
      <c r="J79" s="425">
        <f t="shared" ca="1" si="14"/>
        <v>0</v>
      </c>
      <c r="K79" s="425">
        <f t="shared" ca="1" si="14"/>
        <v>0</v>
      </c>
      <c r="L79" s="425">
        <f t="shared" ca="1" si="14"/>
        <v>0</v>
      </c>
      <c r="M79" s="425">
        <f t="shared" ca="1" si="14"/>
        <v>-19</v>
      </c>
      <c r="N79" s="425">
        <f t="shared" ca="1" si="14"/>
        <v>-24</v>
      </c>
      <c r="O79" s="442">
        <f t="shared" ref="O79:O82" ca="1" si="15">SUM(C79:N79)</f>
        <v>-43</v>
      </c>
      <c r="P79" s="7"/>
      <c r="Q79" s="25"/>
      <c r="R79" s="25"/>
      <c r="S79" s="25"/>
      <c r="T79" s="25"/>
      <c r="U79" s="25"/>
      <c r="V79" s="25"/>
      <c r="W79" s="25"/>
      <c r="X79" s="25"/>
      <c r="Y79" s="25"/>
      <c r="Z79" s="25"/>
      <c r="AA79" s="25"/>
    </row>
    <row r="80" spans="1:27" ht="13.2">
      <c r="A80" s="443" t="s">
        <v>411</v>
      </c>
      <c r="B80" s="444">
        <f t="shared" si="13"/>
        <v>0.4</v>
      </c>
      <c r="C80" s="431">
        <f ca="1">ROUNDUP(C77*$B$80,0)</f>
        <v>0</v>
      </c>
      <c r="D80" s="431">
        <f t="shared" ref="D80:N80" ca="1" si="16">ROUNDUP(D77*$B$80,0)</f>
        <v>0</v>
      </c>
      <c r="E80" s="431">
        <f t="shared" ca="1" si="16"/>
        <v>0</v>
      </c>
      <c r="F80" s="431">
        <f t="shared" ca="1" si="16"/>
        <v>0</v>
      </c>
      <c r="G80" s="431">
        <f ca="1">ROUNDUP(G77*$B$80,0)</f>
        <v>0</v>
      </c>
      <c r="H80" s="431">
        <f t="shared" ca="1" si="16"/>
        <v>0</v>
      </c>
      <c r="I80" s="431">
        <f t="shared" ca="1" si="16"/>
        <v>0</v>
      </c>
      <c r="J80" s="431">
        <f t="shared" ca="1" si="16"/>
        <v>0</v>
      </c>
      <c r="K80" s="431">
        <f t="shared" ca="1" si="16"/>
        <v>0</v>
      </c>
      <c r="L80" s="431">
        <f t="shared" ca="1" si="16"/>
        <v>0</v>
      </c>
      <c r="M80" s="431">
        <f t="shared" ca="1" si="16"/>
        <v>-25</v>
      </c>
      <c r="N80" s="431">
        <f t="shared" ca="1" si="16"/>
        <v>-32</v>
      </c>
      <c r="O80" s="362">
        <f t="shared" ca="1" si="15"/>
        <v>-57</v>
      </c>
      <c r="P80" s="7"/>
      <c r="Q80" s="25"/>
      <c r="R80" s="25"/>
      <c r="S80" s="25"/>
      <c r="T80" s="25"/>
      <c r="U80" s="25"/>
      <c r="V80" s="25"/>
      <c r="W80" s="25"/>
      <c r="X80" s="25"/>
      <c r="Y80" s="25"/>
      <c r="Z80" s="25"/>
      <c r="AA80" s="25"/>
    </row>
    <row r="81" spans="1:27" ht="13.2">
      <c r="A81" s="443" t="s">
        <v>337</v>
      </c>
      <c r="B81" s="444">
        <f t="shared" si="13"/>
        <v>0.25</v>
      </c>
      <c r="C81" s="431">
        <f ca="1">ROUNDUP(C77*$B$81,0)</f>
        <v>0</v>
      </c>
      <c r="D81" s="431">
        <f t="shared" ref="D81:N81" ca="1" si="17">ROUNDUP(D77*$B$81,0)</f>
        <v>0</v>
      </c>
      <c r="E81" s="431">
        <f t="shared" ca="1" si="17"/>
        <v>0</v>
      </c>
      <c r="F81" s="431">
        <f ca="1">ROUNDUP(F77*$B$81,0)</f>
        <v>0</v>
      </c>
      <c r="G81" s="431">
        <f t="shared" ca="1" si="17"/>
        <v>0</v>
      </c>
      <c r="H81" s="431">
        <f t="shared" ca="1" si="17"/>
        <v>0</v>
      </c>
      <c r="I81" s="431">
        <f t="shared" ca="1" si="17"/>
        <v>0</v>
      </c>
      <c r="J81" s="431">
        <f t="shared" ca="1" si="17"/>
        <v>0</v>
      </c>
      <c r="K81" s="431">
        <f t="shared" ca="1" si="17"/>
        <v>0</v>
      </c>
      <c r="L81" s="431">
        <f t="shared" ca="1" si="17"/>
        <v>0</v>
      </c>
      <c r="M81" s="431">
        <f t="shared" ca="1" si="17"/>
        <v>-16</v>
      </c>
      <c r="N81" s="431">
        <f t="shared" ca="1" si="17"/>
        <v>-20</v>
      </c>
      <c r="O81" s="362">
        <f t="shared" ca="1" si="15"/>
        <v>-36</v>
      </c>
      <c r="P81" s="7"/>
      <c r="Q81" s="25"/>
      <c r="R81" s="25"/>
      <c r="S81" s="25"/>
      <c r="T81" s="25"/>
      <c r="U81" s="25"/>
      <c r="V81" s="25"/>
      <c r="W81" s="25"/>
      <c r="X81" s="25"/>
      <c r="Y81" s="25"/>
      <c r="Z81" s="25"/>
      <c r="AA81" s="25"/>
    </row>
    <row r="82" spans="1:27" ht="13.2">
      <c r="A82" s="414" t="s">
        <v>415</v>
      </c>
      <c r="B82" s="445">
        <f t="shared" si="13"/>
        <v>0.05</v>
      </c>
      <c r="C82" s="431">
        <f ca="1">ROUNDUP(C77*$B$82,0)</f>
        <v>0</v>
      </c>
      <c r="D82" s="431">
        <f t="shared" ref="D82:N82" ca="1" si="18">ROUNDUP(D77*$B$82,0)</f>
        <v>0</v>
      </c>
      <c r="E82" s="431">
        <f t="shared" ca="1" si="18"/>
        <v>0</v>
      </c>
      <c r="F82" s="431">
        <f t="shared" ca="1" si="18"/>
        <v>0</v>
      </c>
      <c r="G82" s="431">
        <f t="shared" ca="1" si="18"/>
        <v>0</v>
      </c>
      <c r="H82" s="431">
        <f t="shared" ca="1" si="18"/>
        <v>0</v>
      </c>
      <c r="I82" s="431">
        <f t="shared" ca="1" si="18"/>
        <v>0</v>
      </c>
      <c r="J82" s="431">
        <f t="shared" ca="1" si="18"/>
        <v>0</v>
      </c>
      <c r="K82" s="431">
        <f t="shared" ca="1" si="18"/>
        <v>0</v>
      </c>
      <c r="L82" s="431">
        <f t="shared" ca="1" si="18"/>
        <v>0</v>
      </c>
      <c r="M82" s="431">
        <f t="shared" ca="1" si="18"/>
        <v>-4</v>
      </c>
      <c r="N82" s="431">
        <f t="shared" ca="1" si="18"/>
        <v>-4</v>
      </c>
      <c r="O82" s="418">
        <f t="shared" ca="1" si="15"/>
        <v>-8</v>
      </c>
      <c r="P82" s="7"/>
      <c r="Q82" s="25"/>
      <c r="R82" s="25"/>
      <c r="S82" s="25"/>
      <c r="T82" s="25"/>
      <c r="U82" s="25"/>
      <c r="V82" s="25"/>
      <c r="W82" s="25"/>
      <c r="X82" s="25"/>
      <c r="Y82" s="25"/>
      <c r="Z82" s="25"/>
      <c r="AA82" s="25"/>
    </row>
    <row r="83" spans="1:27" ht="13.2">
      <c r="A83" s="446" t="s">
        <v>416</v>
      </c>
      <c r="B83" s="447"/>
      <c r="C83" s="438"/>
      <c r="D83" s="439"/>
      <c r="E83" s="439"/>
      <c r="F83" s="439"/>
      <c r="G83" s="439"/>
      <c r="H83" s="439"/>
      <c r="I83" s="439"/>
      <c r="J83" s="439"/>
      <c r="K83" s="439"/>
      <c r="L83" s="439"/>
      <c r="M83" s="439"/>
      <c r="N83" s="440"/>
      <c r="O83" s="422">
        <f ca="1">SUM(O79:O82)</f>
        <v>-144</v>
      </c>
      <c r="P83" s="7"/>
      <c r="Q83" s="25"/>
      <c r="R83" s="25"/>
      <c r="S83" s="25"/>
      <c r="T83" s="25"/>
      <c r="U83" s="25"/>
      <c r="V83" s="25"/>
      <c r="W83" s="25"/>
      <c r="X83" s="25"/>
      <c r="Y83" s="25"/>
      <c r="Z83" s="25"/>
      <c r="AA83" s="25"/>
    </row>
    <row r="84" spans="1:27" ht="13.2">
      <c r="A84" s="411" t="s">
        <v>417</v>
      </c>
      <c r="B84" s="448"/>
      <c r="C84" s="449">
        <f ca="1">ROUNDUP(C79*$F$41,0)</f>
        <v>0</v>
      </c>
      <c r="D84" s="425">
        <f t="shared" ref="D84:N84" ca="1" si="19">ROUNDUP(D79*$F$41,0)</f>
        <v>0</v>
      </c>
      <c r="E84" s="425">
        <f t="shared" ca="1" si="19"/>
        <v>0</v>
      </c>
      <c r="F84" s="425">
        <f t="shared" ca="1" si="19"/>
        <v>0</v>
      </c>
      <c r="G84" s="425">
        <f t="shared" ca="1" si="19"/>
        <v>0</v>
      </c>
      <c r="H84" s="425">
        <f t="shared" ca="1" si="19"/>
        <v>0</v>
      </c>
      <c r="I84" s="425">
        <f t="shared" ca="1" si="19"/>
        <v>0</v>
      </c>
      <c r="J84" s="425">
        <f t="shared" ca="1" si="19"/>
        <v>0</v>
      </c>
      <c r="K84" s="425">
        <f t="shared" ca="1" si="19"/>
        <v>0</v>
      </c>
      <c r="L84" s="425">
        <f t="shared" ca="1" si="19"/>
        <v>0</v>
      </c>
      <c r="M84" s="425">
        <f t="shared" ca="1" si="19"/>
        <v>-95</v>
      </c>
      <c r="N84" s="425">
        <f t="shared" ca="1" si="19"/>
        <v>-120</v>
      </c>
      <c r="O84" s="442">
        <f t="shared" ref="O84:O85" ca="1" si="20">SUM(C84:N84)</f>
        <v>-215</v>
      </c>
      <c r="P84" s="7"/>
      <c r="Q84" s="25"/>
      <c r="R84" s="25"/>
      <c r="S84" s="25"/>
      <c r="T84" s="25"/>
      <c r="U84" s="25"/>
      <c r="V84" s="25"/>
      <c r="W84" s="25"/>
      <c r="X84" s="25"/>
      <c r="Y84" s="25"/>
      <c r="Z84" s="25"/>
      <c r="AA84" s="25"/>
    </row>
    <row r="85" spans="1:27" ht="13.2">
      <c r="A85" s="443" t="s">
        <v>418</v>
      </c>
      <c r="B85" s="448"/>
      <c r="C85" s="449">
        <f ca="1">ROUNDUP(C84*$F$34*$F$35,0)</f>
        <v>0</v>
      </c>
      <c r="D85" s="425">
        <f t="shared" ref="D85:N85" ca="1" si="21">ROUNDUP(D84*$F$34*$F$35,0)</f>
        <v>0</v>
      </c>
      <c r="E85" s="425">
        <f t="shared" ca="1" si="21"/>
        <v>0</v>
      </c>
      <c r="F85" s="425">
        <f t="shared" ca="1" si="21"/>
        <v>0</v>
      </c>
      <c r="G85" s="425">
        <f t="shared" ca="1" si="21"/>
        <v>0</v>
      </c>
      <c r="H85" s="425">
        <f t="shared" ca="1" si="21"/>
        <v>0</v>
      </c>
      <c r="I85" s="425">
        <f t="shared" ca="1" si="21"/>
        <v>0</v>
      </c>
      <c r="J85" s="425">
        <f t="shared" ca="1" si="21"/>
        <v>0</v>
      </c>
      <c r="K85" s="425">
        <f t="shared" ca="1" si="21"/>
        <v>0</v>
      </c>
      <c r="L85" s="425">
        <f t="shared" ca="1" si="21"/>
        <v>0</v>
      </c>
      <c r="M85" s="425">
        <f t="shared" ca="1" si="21"/>
        <v>-1140</v>
      </c>
      <c r="N85" s="425">
        <f t="shared" ca="1" si="21"/>
        <v>-1440</v>
      </c>
      <c r="O85" s="362">
        <f t="shared" ca="1" si="20"/>
        <v>-2580</v>
      </c>
      <c r="P85" s="7"/>
      <c r="Q85" s="25"/>
      <c r="R85" s="25"/>
      <c r="S85" s="25"/>
      <c r="T85" s="25"/>
      <c r="U85" s="25"/>
      <c r="V85" s="25"/>
      <c r="W85" s="25"/>
      <c r="X85" s="25"/>
      <c r="Y85" s="25"/>
      <c r="Z85" s="25"/>
      <c r="AA85" s="25"/>
    </row>
    <row r="86" spans="1:27" ht="13.2">
      <c r="A86" s="443" t="s">
        <v>419</v>
      </c>
      <c r="B86" s="448"/>
      <c r="C86" s="449">
        <f ca="1">ROUNDUP((C79/$F$36/$F$37)*$F$39,0)</f>
        <v>0</v>
      </c>
      <c r="D86" s="425">
        <f t="shared" ref="D86:N86" ca="1" si="22">ROUNDUP((D79/$F$36/$F$37)*$F$39,0)</f>
        <v>0</v>
      </c>
      <c r="E86" s="425">
        <f t="shared" ca="1" si="22"/>
        <v>0</v>
      </c>
      <c r="F86" s="425">
        <f t="shared" ca="1" si="22"/>
        <v>0</v>
      </c>
      <c r="G86" s="425">
        <f t="shared" ca="1" si="22"/>
        <v>0</v>
      </c>
      <c r="H86" s="425">
        <f t="shared" ca="1" si="22"/>
        <v>0</v>
      </c>
      <c r="I86" s="425">
        <f t="shared" ca="1" si="22"/>
        <v>0</v>
      </c>
      <c r="J86" s="425">
        <f t="shared" ca="1" si="22"/>
        <v>0</v>
      </c>
      <c r="K86" s="425">
        <f t="shared" ca="1" si="22"/>
        <v>0</v>
      </c>
      <c r="L86" s="425">
        <f t="shared" ca="1" si="22"/>
        <v>0</v>
      </c>
      <c r="M86" s="425">
        <f t="shared" ca="1" si="22"/>
        <v>-190</v>
      </c>
      <c r="N86" s="425">
        <f t="shared" ca="1" si="22"/>
        <v>-240</v>
      </c>
      <c r="O86" s="362">
        <f t="shared" ref="O86:O89" ca="1" si="23">SUM(E86:N86)</f>
        <v>-430</v>
      </c>
      <c r="P86" s="7"/>
      <c r="Q86" s="25"/>
      <c r="R86" s="25"/>
      <c r="S86" s="25"/>
      <c r="T86" s="25"/>
      <c r="U86" s="25"/>
      <c r="V86" s="25"/>
      <c r="W86" s="25"/>
      <c r="X86" s="25"/>
      <c r="Y86" s="25"/>
      <c r="Z86" s="25"/>
      <c r="AA86" s="25"/>
    </row>
    <row r="87" spans="1:27" ht="13.2">
      <c r="A87" s="414" t="s">
        <v>420</v>
      </c>
      <c r="B87" s="448"/>
      <c r="C87" s="449">
        <f ca="1">ROUNDUP((C79/$F$36/$F$37)*$F$40,0)</f>
        <v>0</v>
      </c>
      <c r="D87" s="425">
        <f ca="1">ROUNDUP((D79/$F$36/$F$37)*$F$40,0)</f>
        <v>0</v>
      </c>
      <c r="E87" s="425">
        <f t="shared" ref="E87:N87" ca="1" si="24">ROUNDUP((E79/$F$36/$F$37)*$F$40,0)</f>
        <v>0</v>
      </c>
      <c r="F87" s="425">
        <f t="shared" ca="1" si="24"/>
        <v>0</v>
      </c>
      <c r="G87" s="425">
        <f t="shared" ca="1" si="24"/>
        <v>0</v>
      </c>
      <c r="H87" s="425">
        <f t="shared" ca="1" si="24"/>
        <v>0</v>
      </c>
      <c r="I87" s="425">
        <f t="shared" ca="1" si="24"/>
        <v>0</v>
      </c>
      <c r="J87" s="425">
        <f t="shared" ca="1" si="24"/>
        <v>0</v>
      </c>
      <c r="K87" s="425">
        <f t="shared" ca="1" si="24"/>
        <v>0</v>
      </c>
      <c r="L87" s="425">
        <f t="shared" ca="1" si="24"/>
        <v>0</v>
      </c>
      <c r="M87" s="425">
        <f t="shared" ca="1" si="24"/>
        <v>-143</v>
      </c>
      <c r="N87" s="425">
        <f t="shared" ca="1" si="24"/>
        <v>-180</v>
      </c>
      <c r="O87" s="418">
        <f t="shared" ca="1" si="23"/>
        <v>-323</v>
      </c>
      <c r="P87" s="7"/>
      <c r="Q87" s="25"/>
      <c r="R87" s="25"/>
      <c r="S87" s="25"/>
      <c r="T87" s="25"/>
      <c r="U87" s="25"/>
      <c r="V87" s="25"/>
      <c r="W87" s="25"/>
      <c r="X87" s="25"/>
      <c r="Y87" s="25"/>
      <c r="Z87" s="25"/>
      <c r="AA87" s="25"/>
    </row>
    <row r="88" spans="1:27" ht="13.2">
      <c r="A88" s="414" t="s">
        <v>421</v>
      </c>
      <c r="B88" s="448"/>
      <c r="C88" s="449">
        <f ca="1">C87+C94+C104+C108</f>
        <v>0</v>
      </c>
      <c r="D88" s="425">
        <f t="shared" ref="D88:E88" ca="1" si="25">D87+D94+D104+D108</f>
        <v>0</v>
      </c>
      <c r="E88" s="425">
        <f t="shared" ca="1" si="25"/>
        <v>0</v>
      </c>
      <c r="F88" s="425">
        <f ca="1">F87+F94+F104+F108</f>
        <v>0</v>
      </c>
      <c r="G88" s="425">
        <f t="shared" ref="G88:N88" ca="1" si="26">G87+G94+G104+G108</f>
        <v>0</v>
      </c>
      <c r="H88" s="425">
        <f t="shared" ca="1" si="26"/>
        <v>0</v>
      </c>
      <c r="I88" s="425">
        <f t="shared" ca="1" si="26"/>
        <v>0</v>
      </c>
      <c r="J88" s="425">
        <f t="shared" ca="1" si="26"/>
        <v>0</v>
      </c>
      <c r="K88" s="425">
        <f t="shared" ca="1" si="26"/>
        <v>0</v>
      </c>
      <c r="L88" s="425">
        <f t="shared" ca="1" si="26"/>
        <v>0</v>
      </c>
      <c r="M88" s="425">
        <f t="shared" ca="1" si="26"/>
        <v>-409.23529411764702</v>
      </c>
      <c r="N88" s="425">
        <f t="shared" ca="1" si="26"/>
        <v>-524.44117647058829</v>
      </c>
      <c r="O88" s="418">
        <f t="shared" ca="1" si="23"/>
        <v>-933.67647058823536</v>
      </c>
      <c r="P88" s="7"/>
      <c r="Q88" s="25"/>
      <c r="R88" s="25"/>
      <c r="S88" s="25"/>
      <c r="T88" s="25"/>
      <c r="U88" s="25"/>
      <c r="V88" s="25"/>
      <c r="W88" s="25"/>
      <c r="X88" s="25"/>
      <c r="Y88" s="25"/>
      <c r="Z88" s="25"/>
      <c r="AA88" s="25"/>
    </row>
    <row r="89" spans="1:27" ht="13.2">
      <c r="A89" s="414" t="s">
        <v>422</v>
      </c>
      <c r="B89" s="448"/>
      <c r="C89" s="449">
        <f ca="1">C86+C107</f>
        <v>0</v>
      </c>
      <c r="D89" s="425">
        <f t="shared" ref="D89:E89" ca="1" si="27">D86+D107</f>
        <v>0</v>
      </c>
      <c r="E89" s="425">
        <f t="shared" ca="1" si="27"/>
        <v>0</v>
      </c>
      <c r="F89" s="425">
        <f ca="1">F86+F107</f>
        <v>0</v>
      </c>
      <c r="G89" s="425">
        <f t="shared" ref="G89:N89" ca="1" si="28">G86+G107</f>
        <v>0</v>
      </c>
      <c r="H89" s="425">
        <f t="shared" ca="1" si="28"/>
        <v>0</v>
      </c>
      <c r="I89" s="425">
        <f t="shared" ca="1" si="28"/>
        <v>0</v>
      </c>
      <c r="J89" s="425">
        <f t="shared" ca="1" si="28"/>
        <v>0</v>
      </c>
      <c r="K89" s="425">
        <f t="shared" ca="1" si="28"/>
        <v>0</v>
      </c>
      <c r="L89" s="425">
        <f t="shared" ca="1" si="28"/>
        <v>0</v>
      </c>
      <c r="M89" s="425">
        <f t="shared" ca="1" si="28"/>
        <v>-187</v>
      </c>
      <c r="N89" s="425">
        <f t="shared" ca="1" si="28"/>
        <v>-237</v>
      </c>
      <c r="O89" s="418">
        <f t="shared" ca="1" si="23"/>
        <v>-424</v>
      </c>
      <c r="P89" s="7"/>
      <c r="Q89" s="25"/>
      <c r="R89" s="25"/>
      <c r="S89" s="25"/>
      <c r="T89" s="25"/>
      <c r="U89" s="25"/>
      <c r="V89" s="25"/>
      <c r="W89" s="25"/>
      <c r="X89" s="25"/>
      <c r="Y89" s="25"/>
      <c r="Z89" s="25"/>
      <c r="AA89" s="25"/>
    </row>
    <row r="90" spans="1:27" ht="13.2">
      <c r="A90" s="446" t="s">
        <v>423</v>
      </c>
      <c r="B90" s="447"/>
      <c r="C90" s="450"/>
      <c r="D90" s="439"/>
      <c r="E90" s="439"/>
      <c r="F90" s="439"/>
      <c r="G90" s="439"/>
      <c r="H90" s="439"/>
      <c r="I90" s="439"/>
      <c r="J90" s="439"/>
      <c r="K90" s="439"/>
      <c r="L90" s="439"/>
      <c r="M90" s="439"/>
      <c r="N90" s="440"/>
      <c r="O90" s="422"/>
      <c r="P90" s="7"/>
      <c r="Q90" s="25"/>
      <c r="R90" s="25"/>
      <c r="S90" s="25"/>
      <c r="T90" s="25"/>
      <c r="U90" s="25"/>
      <c r="V90" s="25"/>
      <c r="W90" s="25"/>
      <c r="X90" s="25"/>
      <c r="Y90" s="25"/>
      <c r="Z90" s="25"/>
      <c r="AA90" s="25"/>
    </row>
    <row r="91" spans="1:27" ht="13.2">
      <c r="A91" s="411" t="s">
        <v>424</v>
      </c>
      <c r="B91" s="451"/>
      <c r="C91" s="449">
        <f t="shared" ref="C91:N91" ca="1" si="29">C80*$H$41</f>
        <v>0</v>
      </c>
      <c r="D91" s="426">
        <f t="shared" ca="1" si="29"/>
        <v>0</v>
      </c>
      <c r="E91" s="426">
        <f t="shared" ca="1" si="29"/>
        <v>0</v>
      </c>
      <c r="F91" s="426">
        <f t="shared" ca="1" si="29"/>
        <v>0</v>
      </c>
      <c r="G91" s="426">
        <f t="shared" ca="1" si="29"/>
        <v>0</v>
      </c>
      <c r="H91" s="426">
        <f t="shared" ca="1" si="29"/>
        <v>0</v>
      </c>
      <c r="I91" s="426">
        <f t="shared" ca="1" si="29"/>
        <v>0</v>
      </c>
      <c r="J91" s="426">
        <f t="shared" ca="1" si="29"/>
        <v>0</v>
      </c>
      <c r="K91" s="426">
        <f t="shared" ca="1" si="29"/>
        <v>0</v>
      </c>
      <c r="L91" s="426">
        <f t="shared" ca="1" si="29"/>
        <v>0</v>
      </c>
      <c r="M91" s="426">
        <f t="shared" ca="1" si="29"/>
        <v>-229.77941176470586</v>
      </c>
      <c r="N91" s="427">
        <f t="shared" ca="1" si="29"/>
        <v>-294.11764705882348</v>
      </c>
      <c r="O91" s="442">
        <f t="shared" ref="O91:O92" ca="1" si="30">SUM(C91:N91)</f>
        <v>-523.89705882352928</v>
      </c>
      <c r="P91" s="7"/>
      <c r="Q91" s="25"/>
      <c r="R91" s="25"/>
      <c r="S91" s="25"/>
      <c r="T91" s="25"/>
      <c r="U91" s="25"/>
      <c r="V91" s="25"/>
      <c r="W91" s="25"/>
      <c r="X91" s="25"/>
      <c r="Y91" s="25"/>
      <c r="Z91" s="25"/>
      <c r="AA91" s="25"/>
    </row>
    <row r="92" spans="1:27" ht="13.2">
      <c r="A92" s="443" t="s">
        <v>418</v>
      </c>
      <c r="B92" s="448"/>
      <c r="C92" s="452">
        <f t="shared" ref="C92:N92" ca="1" si="31">C80*$H$38</f>
        <v>0</v>
      </c>
      <c r="D92" s="432">
        <f t="shared" ca="1" si="31"/>
        <v>0</v>
      </c>
      <c r="E92" s="432">
        <f t="shared" ca="1" si="31"/>
        <v>0</v>
      </c>
      <c r="F92" s="432">
        <f t="shared" ca="1" si="31"/>
        <v>0</v>
      </c>
      <c r="G92" s="432">
        <f t="shared" ca="1" si="31"/>
        <v>0</v>
      </c>
      <c r="H92" s="432">
        <f t="shared" ca="1" si="31"/>
        <v>0</v>
      </c>
      <c r="I92" s="432">
        <f t="shared" ca="1" si="31"/>
        <v>0</v>
      </c>
      <c r="J92" s="432">
        <f t="shared" ca="1" si="31"/>
        <v>0</v>
      </c>
      <c r="K92" s="432">
        <f t="shared" ca="1" si="31"/>
        <v>0</v>
      </c>
      <c r="L92" s="432">
        <f t="shared" ca="1" si="31"/>
        <v>0</v>
      </c>
      <c r="M92" s="432">
        <f t="shared" ca="1" si="31"/>
        <v>-5055.1470588235288</v>
      </c>
      <c r="N92" s="433">
        <f t="shared" ca="1" si="31"/>
        <v>-6470.5882352941171</v>
      </c>
      <c r="O92" s="362">
        <f t="shared" ca="1" si="30"/>
        <v>-11525.735294117647</v>
      </c>
      <c r="P92" s="7"/>
      <c r="Q92" s="25"/>
      <c r="R92" s="25"/>
      <c r="S92" s="25"/>
      <c r="T92" s="25"/>
      <c r="U92" s="25"/>
      <c r="V92" s="25"/>
      <c r="W92" s="25"/>
      <c r="X92" s="25"/>
      <c r="Y92" s="25"/>
      <c r="Z92" s="25"/>
      <c r="AA92" s="25"/>
    </row>
    <row r="93" spans="1:27" ht="13.2">
      <c r="A93" s="443" t="s">
        <v>419</v>
      </c>
      <c r="B93" s="451"/>
      <c r="C93" s="452">
        <f ca="1">(C80/$H$36/$H$37)*$H$39</f>
        <v>0</v>
      </c>
      <c r="D93" s="432">
        <f t="shared" ref="D93:N93" ca="1" si="32">(D80/$H$36/$H$37)*$H$39</f>
        <v>0</v>
      </c>
      <c r="E93" s="432">
        <f t="shared" ca="1" si="32"/>
        <v>0</v>
      </c>
      <c r="F93" s="432">
        <f t="shared" ca="1" si="32"/>
        <v>0</v>
      </c>
      <c r="G93" s="432">
        <f t="shared" ca="1" si="32"/>
        <v>0</v>
      </c>
      <c r="H93" s="432">
        <f t="shared" ca="1" si="32"/>
        <v>0</v>
      </c>
      <c r="I93" s="432">
        <f t="shared" ca="1" si="32"/>
        <v>0</v>
      </c>
      <c r="J93" s="432">
        <f t="shared" ca="1" si="32"/>
        <v>0</v>
      </c>
      <c r="K93" s="432">
        <f t="shared" ca="1" si="32"/>
        <v>0</v>
      </c>
      <c r="L93" s="432">
        <f t="shared" ca="1" si="32"/>
        <v>0</v>
      </c>
      <c r="M93" s="432">
        <f t="shared" ca="1" si="32"/>
        <v>-459.55882352941171</v>
      </c>
      <c r="N93" s="433">
        <f t="shared" ca="1" si="32"/>
        <v>-588.23529411764707</v>
      </c>
      <c r="O93" s="362">
        <f t="shared" ref="O93:O95" ca="1" si="33">SUM(E93:N93)</f>
        <v>-1047.7941176470588</v>
      </c>
      <c r="P93" s="7"/>
      <c r="Q93" s="25"/>
      <c r="R93" s="25"/>
      <c r="S93" s="25"/>
      <c r="T93" s="25"/>
      <c r="U93" s="25"/>
      <c r="V93" s="25"/>
      <c r="W93" s="25"/>
      <c r="X93" s="25"/>
      <c r="Y93" s="25"/>
      <c r="Z93" s="25"/>
      <c r="AA93" s="25"/>
    </row>
    <row r="94" spans="1:27" ht="13.2">
      <c r="A94" s="453" t="s">
        <v>425</v>
      </c>
      <c r="B94" s="451"/>
      <c r="C94" s="454">
        <f t="shared" ref="C94:N94" ca="1" si="34">(C80/$H$36/$H$37)*$H$40</f>
        <v>0</v>
      </c>
      <c r="D94" s="432">
        <f ca="1">(D80/$H$36/$H$37)*$H$40</f>
        <v>0</v>
      </c>
      <c r="E94" s="432">
        <f t="shared" ca="1" si="34"/>
        <v>0</v>
      </c>
      <c r="F94" s="432">
        <f t="shared" ca="1" si="34"/>
        <v>0</v>
      </c>
      <c r="G94" s="432">
        <f t="shared" ca="1" si="34"/>
        <v>0</v>
      </c>
      <c r="H94" s="432">
        <f t="shared" ca="1" si="34"/>
        <v>0</v>
      </c>
      <c r="I94" s="432">
        <f t="shared" ca="1" si="34"/>
        <v>0</v>
      </c>
      <c r="J94" s="432">
        <f t="shared" ca="1" si="34"/>
        <v>0</v>
      </c>
      <c r="K94" s="432">
        <f t="shared" ca="1" si="34"/>
        <v>0</v>
      </c>
      <c r="L94" s="432">
        <f t="shared" ca="1" si="34"/>
        <v>0</v>
      </c>
      <c r="M94" s="432">
        <f t="shared" ca="1" si="34"/>
        <v>-275.73529411764702</v>
      </c>
      <c r="N94" s="417">
        <f t="shared" ca="1" si="34"/>
        <v>-352.94117647058823</v>
      </c>
      <c r="O94" s="418">
        <f t="shared" ca="1" si="33"/>
        <v>-628.67647058823525</v>
      </c>
      <c r="P94" s="7"/>
      <c r="Q94" s="25"/>
      <c r="R94" s="25"/>
      <c r="S94" s="25"/>
      <c r="T94" s="25"/>
      <c r="U94" s="25"/>
      <c r="V94" s="25"/>
      <c r="W94" s="25"/>
      <c r="X94" s="25"/>
      <c r="Y94" s="25"/>
      <c r="Z94" s="25"/>
      <c r="AA94" s="25"/>
    </row>
    <row r="95" spans="1:27" ht="13.2">
      <c r="A95" s="30" t="s">
        <v>426</v>
      </c>
      <c r="B95" s="451"/>
      <c r="C95" s="455">
        <f ca="1">C93+C103</f>
        <v>0</v>
      </c>
      <c r="D95" s="456">
        <f t="shared" ref="D95:E95" ca="1" si="35">D93+D103</f>
        <v>0</v>
      </c>
      <c r="E95" s="456">
        <f t="shared" ca="1" si="35"/>
        <v>0</v>
      </c>
      <c r="F95" s="457">
        <f t="shared" ref="F95:N95" ca="1" si="36">F93+F103</f>
        <v>0</v>
      </c>
      <c r="G95" s="457">
        <f t="shared" ca="1" si="36"/>
        <v>0</v>
      </c>
      <c r="H95" s="457">
        <f t="shared" ca="1" si="36"/>
        <v>0</v>
      </c>
      <c r="I95" s="457">
        <f t="shared" ca="1" si="36"/>
        <v>0</v>
      </c>
      <c r="J95" s="457">
        <f t="shared" ca="1" si="36"/>
        <v>0</v>
      </c>
      <c r="K95" s="457">
        <f t="shared" ca="1" si="36"/>
        <v>0</v>
      </c>
      <c r="L95" s="457">
        <f t="shared" ca="1" si="36"/>
        <v>0</v>
      </c>
      <c r="M95" s="457">
        <f t="shared" ca="1" si="36"/>
        <v>-448.55882352941171</v>
      </c>
      <c r="N95" s="458">
        <f t="shared" ca="1" si="36"/>
        <v>-580.23529411764707</v>
      </c>
      <c r="O95" s="418">
        <f t="shared" ca="1" si="33"/>
        <v>-1028.7941176470588</v>
      </c>
      <c r="P95" s="7"/>
      <c r="Q95" s="25"/>
      <c r="R95" s="25"/>
      <c r="S95" s="25"/>
      <c r="T95" s="25"/>
      <c r="U95" s="25"/>
      <c r="V95" s="25"/>
      <c r="W95" s="25"/>
      <c r="X95" s="25"/>
      <c r="Y95" s="25"/>
      <c r="Z95" s="25"/>
      <c r="AA95" s="25"/>
    </row>
    <row r="96" spans="1:27" ht="13.2">
      <c r="A96" s="446" t="s">
        <v>427</v>
      </c>
      <c r="B96" s="447"/>
      <c r="C96" s="450"/>
      <c r="D96" s="439"/>
      <c r="E96" s="439"/>
      <c r="F96" s="439"/>
      <c r="G96" s="439"/>
      <c r="H96" s="439"/>
      <c r="I96" s="439"/>
      <c r="J96" s="439"/>
      <c r="K96" s="439"/>
      <c r="L96" s="439"/>
      <c r="M96" s="439"/>
      <c r="N96" s="440"/>
      <c r="O96" s="421"/>
      <c r="P96" s="7"/>
      <c r="Q96" s="25"/>
      <c r="R96" s="25"/>
      <c r="S96" s="25"/>
      <c r="T96" s="25"/>
      <c r="U96" s="25"/>
      <c r="V96" s="25"/>
      <c r="W96" s="25"/>
      <c r="X96" s="25"/>
      <c r="Y96" s="25"/>
      <c r="Z96" s="25"/>
      <c r="AA96" s="25"/>
    </row>
    <row r="97" spans="1:27" ht="13.2">
      <c r="A97" s="411" t="s">
        <v>428</v>
      </c>
      <c r="B97" s="459"/>
      <c r="C97" s="460" cm="1">
        <f t="array" aca="1" ref="C97" ca="1">_xlfn.IFS(MONTH($B$37)&gt;MONTH(C69),0,MONTH($B$37)&lt;=MONTH(C69),"Fill")</f>
        <v>0</v>
      </c>
      <c r="D97" s="460" cm="1">
        <f t="array" aca="1" ref="D97" ca="1">_xlfn.IFS(MONTH($B$37)&gt;MONTH(D69),0,MONTH($B$37)&lt;=MONTH(D69),"Fill")</f>
        <v>0</v>
      </c>
      <c r="E97" s="460" cm="1">
        <f t="array" aca="1" ref="E97" ca="1">_xlfn.IFS(MONTH($B$37)&gt;MONTH(E69),0,MONTH($B$37)&lt;=MONTH(E69),"Fill")</f>
        <v>0</v>
      </c>
      <c r="F97" s="460">
        <v>2</v>
      </c>
      <c r="G97" s="460">
        <v>2</v>
      </c>
      <c r="H97" s="460">
        <v>1</v>
      </c>
      <c r="I97" s="460">
        <v>1</v>
      </c>
      <c r="J97" s="460">
        <v>1</v>
      </c>
      <c r="K97" s="460">
        <v>1</v>
      </c>
      <c r="L97" s="460">
        <v>2</v>
      </c>
      <c r="M97" s="460">
        <v>2</v>
      </c>
      <c r="N97" s="460">
        <v>1</v>
      </c>
      <c r="O97" s="442">
        <f t="shared" ref="O97:O100" ca="1" si="37">SUM(E97:N97)</f>
        <v>13</v>
      </c>
      <c r="P97" s="7"/>
      <c r="Q97" s="25"/>
      <c r="R97" s="25"/>
      <c r="S97" s="25"/>
      <c r="T97" s="25"/>
      <c r="U97" s="25"/>
      <c r="V97" s="25"/>
      <c r="W97" s="25"/>
      <c r="X97" s="25"/>
      <c r="Y97" s="25"/>
      <c r="Z97" s="25"/>
      <c r="AA97" s="25"/>
    </row>
    <row r="98" spans="1:27" ht="13.2">
      <c r="A98" s="443" t="s">
        <v>429</v>
      </c>
      <c r="B98" s="451"/>
      <c r="C98" s="461" cm="1">
        <f t="array" aca="1" ref="C98" ca="1">_xlfn.IFS(C97=0,0,C97&gt;0,C97*$J$35)</f>
        <v>0</v>
      </c>
      <c r="D98" s="461" cm="1">
        <f t="array" aca="1" ref="D98" ca="1">_xlfn.IFS(D97=0,0,D97&gt;0,D97*$J$35)</f>
        <v>0</v>
      </c>
      <c r="E98" s="461" cm="1">
        <f t="array" aca="1" ref="E98" ca="1">_xlfn.IFS(E97=0,0,E97&gt;0,E97*$J$35)</f>
        <v>0</v>
      </c>
      <c r="F98" s="461" cm="1">
        <f t="array" ref="F98">_xlfn.IFS(F97=0,0,F97&gt;0,F97*$J$35)</f>
        <v>6</v>
      </c>
      <c r="G98" s="461" cm="1">
        <f t="array" ref="G98">_xlfn.IFS(G97=0,0,G97&gt;0,G97*$J$35)</f>
        <v>6</v>
      </c>
      <c r="H98" s="461" cm="1">
        <f t="array" ref="H98">_xlfn.IFS(H97=0,0,H97&gt;0,H97*$J$35)</f>
        <v>3</v>
      </c>
      <c r="I98" s="461" cm="1">
        <f t="array" ref="I98">_xlfn.IFS(I97=0,0,I97&gt;0,I97*$J$35)</f>
        <v>3</v>
      </c>
      <c r="J98" s="461" cm="1">
        <f t="array" ref="J98">_xlfn.IFS(J97=0,0,J97&gt;0,J97*$J$35)</f>
        <v>3</v>
      </c>
      <c r="K98" s="461" cm="1">
        <f t="array" ref="K98">_xlfn.IFS(K97=0,0,K97&gt;0,K97*$J$35)</f>
        <v>3</v>
      </c>
      <c r="L98" s="461" cm="1">
        <f t="array" ref="L98">_xlfn.IFS(L97=0,0,L97&gt;0,L97*$J$35)</f>
        <v>6</v>
      </c>
      <c r="M98" s="461" cm="1">
        <f t="array" ref="M98">_xlfn.IFS(M97=0,0,M97&gt;0,M97*$J$35)</f>
        <v>6</v>
      </c>
      <c r="N98" s="461" cm="1">
        <f t="array" ref="N98">_xlfn.IFS(N97=0,0,N97&gt;0,N97*$J$35)</f>
        <v>3</v>
      </c>
      <c r="O98" s="442">
        <f t="shared" ca="1" si="37"/>
        <v>39</v>
      </c>
      <c r="P98" s="7"/>
      <c r="Q98" s="25"/>
      <c r="R98" s="25"/>
      <c r="S98" s="25"/>
      <c r="T98" s="25"/>
      <c r="U98" s="25"/>
      <c r="V98" s="25"/>
      <c r="W98" s="25"/>
      <c r="X98" s="25"/>
      <c r="Y98" s="25"/>
      <c r="Z98" s="25"/>
      <c r="AA98" s="25"/>
    </row>
    <row r="99" spans="1:27" ht="13.2">
      <c r="A99" s="443" t="s">
        <v>430</v>
      </c>
      <c r="B99" s="451"/>
      <c r="C99" s="461" cm="1">
        <f t="array" aca="1" ref="C99" ca="1">_xlfn.IFS(MONTH($B$37)&gt;MONTH(C69),0,MONTH($B$37)&lt;=MONTH(C69),$J$34)</f>
        <v>0</v>
      </c>
      <c r="D99" s="461" cm="1">
        <f t="array" aca="1" ref="D99" ca="1">_xlfn.IFS(MONTH($B$37)&gt;MONTH(D69),0,MONTH($B$37)&lt;=MONTH(D69),$J$34)</f>
        <v>0</v>
      </c>
      <c r="E99" s="461" cm="1">
        <f t="array" aca="1" ref="E99" ca="1">_xlfn.IFS(MONTH($B$37)&gt;MONTH(E69),0,MONTH($B$37)&lt;=MONTH(E69),$J$34)</f>
        <v>0</v>
      </c>
      <c r="F99" s="461" cm="1">
        <f t="array" aca="1" ref="F99" ca="1">_xlfn.IFS(MONTH($B$37)&gt;MONTH(F69),0,MONTH($B$37)&lt;=MONTH(F69),$J$34)</f>
        <v>0</v>
      </c>
      <c r="G99" s="461" cm="1">
        <f t="array" aca="1" ref="G99" ca="1">_xlfn.IFS(MONTH($B$37)&gt;MONTH(G69),0,MONTH($B$37)&lt;=MONTH(G69),$J$34)</f>
        <v>0</v>
      </c>
      <c r="H99" s="461" cm="1">
        <f t="array" aca="1" ref="H99" ca="1">_xlfn.IFS(MONTH($B$37)&gt;MONTH(H69),0,MONTH($B$37)&lt;=MONTH(H69),$J$34)</f>
        <v>0</v>
      </c>
      <c r="I99" s="461" cm="1">
        <f t="array" aca="1" ref="I99" ca="1">_xlfn.IFS(MONTH($B$37)&gt;MONTH(I69),0,MONTH($B$37)&lt;=MONTH(I69),$J$34)</f>
        <v>0</v>
      </c>
      <c r="J99" s="461" cm="1">
        <f t="array" aca="1" ref="J99" ca="1">_xlfn.IFS(MONTH($B$37)&gt;MONTH(J69),0,MONTH($B$37)&lt;=MONTH(J69),$J$34)</f>
        <v>0</v>
      </c>
      <c r="K99" s="461" cm="1">
        <f t="array" aca="1" ref="K99" ca="1">_xlfn.IFS(MONTH($B$37)&gt;MONTH(K69),0,MONTH($B$37)&lt;=MONTH(K69),$J$34)</f>
        <v>0</v>
      </c>
      <c r="L99" s="461" cm="1">
        <f t="array" aca="1" ref="L99" ca="1">_xlfn.IFS(MONTH($B$37)&gt;MONTH(L69),0,MONTH($B$37)&lt;=MONTH(L69),$J$34)</f>
        <v>0</v>
      </c>
      <c r="M99" s="461" cm="1">
        <f t="array" aca="1" ref="M99" ca="1">_xlfn.IFS(MONTH($B$37)&gt;MONTH(M69),0,MONTH($B$37)&lt;=MONTH(M69),$J$34)</f>
        <v>5</v>
      </c>
      <c r="N99" s="461" cm="1">
        <f t="array" aca="1" ref="N99" ca="1">_xlfn.IFS(MONTH($B$37)&gt;MONTH(N69),0,MONTH($B$37)&lt;=MONTH(N69),$J$34)</f>
        <v>5</v>
      </c>
      <c r="O99" s="442">
        <f t="shared" ca="1" si="37"/>
        <v>10</v>
      </c>
      <c r="P99" s="7"/>
      <c r="Q99" s="25"/>
      <c r="R99" s="25"/>
      <c r="S99" s="25"/>
      <c r="T99" s="25"/>
      <c r="U99" s="25"/>
      <c r="V99" s="25"/>
      <c r="W99" s="25"/>
      <c r="X99" s="25"/>
      <c r="Y99" s="25"/>
      <c r="Z99" s="25"/>
      <c r="AA99" s="25"/>
    </row>
    <row r="100" spans="1:27" ht="13.2">
      <c r="A100" s="443" t="s">
        <v>431</v>
      </c>
      <c r="B100" s="451"/>
      <c r="C100" s="461" cm="1">
        <f t="array" aca="1" ref="C100" ca="1">_xlfn.IFS(MONTH($B$37)&gt;MONTH(C69),0,MONTH($B$37)&lt;=MONTH(C69),(C98*$J$41+C99*$J$40))</f>
        <v>0</v>
      </c>
      <c r="D100" s="461" cm="1">
        <f t="array" aca="1" ref="D100" ca="1">_xlfn.IFS(MONTH($B$37)&gt;MONTH(D69),0,MONTH($B$37)&lt;=MONTH(D69),(D98*$J$41+D99*$J$40))</f>
        <v>0</v>
      </c>
      <c r="E100" s="461" cm="1">
        <f t="array" aca="1" ref="E100" ca="1">_xlfn.IFS(MONTH($B$37)&gt;MONTH(E69),0,MONTH($B$37)&lt;=MONTH(E69),(E98*$J$41+E99*$J$40))</f>
        <v>0</v>
      </c>
      <c r="F100" s="461" cm="1">
        <f t="array" aca="1" ref="F100" ca="1">_xlfn.IFS(MONTH($B$37)&gt;MONTH(F69),0,MONTH($B$37)&lt;=MONTH(F69),(F98*$J$41+F99*$J$40))</f>
        <v>0</v>
      </c>
      <c r="G100" s="461" cm="1">
        <f t="array" aca="1" ref="G100" ca="1">_xlfn.IFS(MONTH($B$37)&gt;MONTH(G69),0,MONTH($B$37)&lt;=MONTH(G69),(G98*$J$41+G99*$J$40))</f>
        <v>0</v>
      </c>
      <c r="H100" s="461" cm="1">
        <f t="array" aca="1" ref="H100" ca="1">_xlfn.IFS(MONTH($B$37)&gt;MONTH(H69),0,MONTH($B$37)&lt;=MONTH(H69),(H98*$J$41+H99*$J$40))</f>
        <v>0</v>
      </c>
      <c r="I100" s="461" cm="1">
        <f t="array" aca="1" ref="I100" ca="1">_xlfn.IFS(MONTH($B$37)&gt;MONTH(I69),0,MONTH($B$37)&lt;=MONTH(I69),(I98*$J$41+I99*$J$40))</f>
        <v>0</v>
      </c>
      <c r="J100" s="461" cm="1">
        <f t="array" aca="1" ref="J100" ca="1">_xlfn.IFS(MONTH($B$37)&gt;MONTH(J69),0,MONTH($B$37)&lt;=MONTH(J69),(J98*$J$41+J99*$J$40))</f>
        <v>0</v>
      </c>
      <c r="K100" s="461" cm="1">
        <f t="array" aca="1" ref="K100" ca="1">_xlfn.IFS(MONTH($B$37)&gt;MONTH(K69),0,MONTH($B$37)&lt;=MONTH(K69),(K98*$J$41+K99*$J$40))</f>
        <v>0</v>
      </c>
      <c r="L100" s="461" cm="1">
        <f t="array" aca="1" ref="L100" ca="1">_xlfn.IFS(MONTH($B$37)&gt;MONTH(L69),0,MONTH($B$37)&lt;=MONTH(L69),(L98*$J$41+L99*$J$40))</f>
        <v>0</v>
      </c>
      <c r="M100" s="461" cm="1">
        <f t="array" aca="1" ref="M100" ca="1">_xlfn.IFS(MONTH($B$37)&gt;MONTH(M69),0,MONTH($B$37)&lt;=MONTH(M69),(M98*$J$41+M99*$J$40))</f>
        <v>2.0099999999999998</v>
      </c>
      <c r="N100" s="461" cm="1">
        <f t="array" aca="1" ref="N100" ca="1">_xlfn.IFS(MONTH($B$37)&gt;MONTH(N69),0,MONTH($B$37)&lt;=MONTH(N69),(N98*$J$41+N99*$J$40))</f>
        <v>1.38</v>
      </c>
      <c r="O100" s="442">
        <f t="shared" ca="1" si="37"/>
        <v>3.3899999999999997</v>
      </c>
      <c r="P100" s="7"/>
      <c r="Q100" s="25"/>
      <c r="R100" s="25"/>
      <c r="S100" s="25"/>
      <c r="T100" s="25"/>
      <c r="U100" s="25"/>
      <c r="V100" s="25"/>
      <c r="W100" s="25"/>
      <c r="X100" s="25"/>
      <c r="Y100" s="25"/>
      <c r="Z100" s="25"/>
      <c r="AA100" s="25"/>
    </row>
    <row r="101" spans="1:27" ht="13.2">
      <c r="A101" s="443" t="s">
        <v>432</v>
      </c>
      <c r="B101" s="451"/>
      <c r="C101" s="461" cm="1">
        <f t="array" aca="1" ref="C101" ca="1">_xlfn.IFS(MONTH($B$37)&gt;MONTH(C69),0,MONTH($B$37)&lt;=MONTH(C69),IF(ROUNDUP(C100-C81,0)&gt;=0,0,ROUNDUP(C100-C81,0)))</f>
        <v>0</v>
      </c>
      <c r="D101" s="461" cm="1">
        <f t="array" aca="1" ref="D101" ca="1">_xlfn.IFS(MONTH($B$37)&gt;MONTH(D69),0,MONTH($B$37)&lt;=MONTH(D69),IF(ROUNDUP(D100-D81,0)&gt;=0,0,ROUNDUP(D100-D81,0)))</f>
        <v>0</v>
      </c>
      <c r="E101" s="461" cm="1">
        <f t="array" aca="1" ref="E101" ca="1">_xlfn.IFS(MONTH($B$37)&gt;MONTH(E69),0,MONTH($B$37)&lt;=MONTH(E69),IF(ROUNDUP(E100-E81,0)&gt;=0,0,ROUNDUP(E100-E81,0)))</f>
        <v>0</v>
      </c>
      <c r="F101" s="461" cm="1">
        <f t="array" aca="1" ref="F101" ca="1">_xlfn.IFS(MONTH($B$37)&gt;MONTH(F69),0,MONTH($B$37)&lt;=MONTH(F69),IF(ROUNDUP(F100-F81,0)&gt;=0,0,ROUNDUP(F100-F81,0)))</f>
        <v>0</v>
      </c>
      <c r="G101" s="461" cm="1">
        <f t="array" aca="1" ref="G101" ca="1">_xlfn.IFS(MONTH($B$37)&gt;MONTH(G69),0,MONTH($B$37)&lt;=MONTH(G69),IF(ROUNDUP(G100-G81,0)&gt;=0,0,ROUNDUP(G100-G81,0)))</f>
        <v>0</v>
      </c>
      <c r="H101" s="461" cm="1">
        <f t="array" aca="1" ref="H101" ca="1">_xlfn.IFS(MONTH($B$37)&gt;MONTH(H69),0,MONTH($B$37)&lt;=MONTH(H69),IF(ROUNDUP(H100-H81,0)&gt;=0,0,ROUNDUP(H100-H81,0)))</f>
        <v>0</v>
      </c>
      <c r="I101" s="461" cm="1">
        <f t="array" aca="1" ref="I101" ca="1">_xlfn.IFS(MONTH($B$37)&gt;MONTH(I69),0,MONTH($B$37)&lt;=MONTH(I69),IF(ROUNDUP(I100-I81,0)&gt;=0,0,ROUNDUP(I100-I81,0)))</f>
        <v>0</v>
      </c>
      <c r="J101" s="461" cm="1">
        <f t="array" aca="1" ref="J101" ca="1">_xlfn.IFS(MONTH($B$37)&gt;MONTH(J69),0,MONTH($B$37)&lt;=MONTH(J69),IF(ROUNDUP(J100-J81,0)&gt;=0,0,ROUNDUP(J100-J81,0)))</f>
        <v>0</v>
      </c>
      <c r="K101" s="461" cm="1">
        <f t="array" aca="1" ref="K101" ca="1">_xlfn.IFS(MONTH($B$37)&gt;MONTH(K69),0,MONTH($B$37)&lt;=MONTH(K69),IF(ROUNDUP(K100-K81,0)&gt;=0,0,ROUNDUP(K100-K81,0)))</f>
        <v>0</v>
      </c>
      <c r="L101" s="461" cm="1">
        <f t="array" aca="1" ref="L101" ca="1">_xlfn.IFS(MONTH($B$37)&gt;MONTH(L69),0,MONTH($B$37)&lt;=MONTH(L69),IF(ROUNDUP(L100-L81,0)&gt;=0,0,ROUNDUP(L100-L81,0)))</f>
        <v>0</v>
      </c>
      <c r="M101" s="461" cm="1">
        <f t="array" aca="1" ref="M101" ca="1">_xlfn.IFS(MONTH($B$37)&gt;MONTH(M69),0,MONTH($B$37)&lt;=MONTH(M69),IF(ROUNDUP(M100-M81,0)&gt;=0,0,ROUNDUP(M100-M81,0)))</f>
        <v>0</v>
      </c>
      <c r="N101" s="461" cm="1">
        <f t="array" aca="1" ref="N101" ca="1">_xlfn.IFS(MONTH($B$37)&gt;MONTH(N69),0,MONTH($B$37)&lt;=MONTH(N69),IF(ROUNDUP(N100-N81,0)&gt;=0,0,ROUNDUP(N100-N81,0)))</f>
        <v>0</v>
      </c>
      <c r="O101" s="442">
        <f ca="1">-SUM(E101:N101)</f>
        <v>0</v>
      </c>
      <c r="P101" s="7"/>
      <c r="Q101" s="25"/>
      <c r="R101" s="25"/>
      <c r="S101" s="25"/>
      <c r="T101" s="25"/>
      <c r="U101" s="25"/>
      <c r="V101" s="25"/>
      <c r="W101" s="25"/>
      <c r="X101" s="25"/>
      <c r="Y101" s="25"/>
      <c r="Z101" s="25"/>
      <c r="AA101" s="25"/>
    </row>
    <row r="102" spans="1:27" ht="13.2">
      <c r="A102" s="443" t="s">
        <v>433</v>
      </c>
      <c r="B102" s="451"/>
      <c r="C102" s="461" cm="1">
        <f t="array" aca="1" ref="C102" ca="1">_xlfn.IFS(MONTH($B$37)&gt;MONTH(C69),0,MONTH($B$37)&lt;=MONTH(C69),ROUNDUP(-C101/$J$35/$J$41,0))</f>
        <v>0</v>
      </c>
      <c r="D102" s="461" cm="1">
        <f t="array" aca="1" ref="D102" ca="1">_xlfn.IFS(MONTH($B$37)&gt;MONTH(D69),0,MONTH($B$37)&lt;=MONTH(D69),ROUNDUP(-D101/$J$35/$J$41,0))</f>
        <v>0</v>
      </c>
      <c r="E102" s="461" cm="1">
        <f t="array" aca="1" ref="E102" ca="1">_xlfn.IFS(MONTH($B$37)&gt;MONTH(E69),0,MONTH($B$37)&lt;=MONTH(E69),ROUNDUP(-E101/$J$35/$J$41,0))</f>
        <v>0</v>
      </c>
      <c r="F102" s="461" cm="1">
        <f t="array" aca="1" ref="F102" ca="1">_xlfn.IFS(MONTH($B$37)&gt;MONTH(F69),0,MONTH($B$37)&lt;=MONTH(F69),ROUNDUP(-F101/$J$35/$J$41,0))</f>
        <v>0</v>
      </c>
      <c r="G102" s="461" cm="1">
        <f t="array" aca="1" ref="G102" ca="1">_xlfn.IFS(MONTH($B$37)&gt;MONTH(G69),0,MONTH($B$37)&lt;=MONTH(G69),ROUNDUP(-G101/$J$35/$J$41,0))</f>
        <v>0</v>
      </c>
      <c r="H102" s="461" cm="1">
        <f t="array" aca="1" ref="H102" ca="1">_xlfn.IFS(MONTH($B$37)&gt;MONTH(H69),0,MONTH($B$37)&lt;=MONTH(H69),ROUNDUP(-H101/$J$35/$J$41,0))</f>
        <v>0</v>
      </c>
      <c r="I102" s="461" cm="1">
        <f t="array" aca="1" ref="I102" ca="1">_xlfn.IFS(MONTH($B$37)&gt;MONTH(I69),0,MONTH($B$37)&lt;=MONTH(I69),ROUNDUP(-I101/$J$35/$J$41,0))</f>
        <v>0</v>
      </c>
      <c r="J102" s="461" cm="1">
        <f t="array" aca="1" ref="J102" ca="1">_xlfn.IFS(MONTH($B$37)&gt;MONTH(J69),0,MONTH($B$37)&lt;=MONTH(J69),ROUNDUP(-J101/$J$35/$J$41,0))</f>
        <v>0</v>
      </c>
      <c r="K102" s="461" cm="1">
        <f t="array" aca="1" ref="K102" ca="1">_xlfn.IFS(MONTH($B$37)&gt;MONTH(K69),0,MONTH($B$37)&lt;=MONTH(K69),ROUNDUP(-K101/$J$35/$J$41,0))</f>
        <v>0</v>
      </c>
      <c r="L102" s="461" cm="1">
        <f t="array" aca="1" ref="L102" ca="1">_xlfn.IFS(MONTH($B$37)&gt;MONTH(L69),0,MONTH($B$37)&lt;=MONTH(L69),ROUNDUP(-L101/$J$35/$J$41,0))</f>
        <v>0</v>
      </c>
      <c r="M102" s="461" cm="1">
        <f t="array" aca="1" ref="M102" ca="1">_xlfn.IFS(MONTH($B$37)&gt;MONTH(M69),0,MONTH($B$37)&lt;=MONTH(M69),ROUNDUP(-M101/$J$35/$J$41,0))</f>
        <v>0</v>
      </c>
      <c r="N102" s="461" cm="1">
        <f t="array" aca="1" ref="N102" ca="1">_xlfn.IFS(MONTH($B$37)&gt;MONTH(N69),0,MONTH($B$37)&lt;=MONTH(N69),ROUNDUP(-N101/$J$35/$J$41,0))</f>
        <v>0</v>
      </c>
      <c r="O102" s="442">
        <f t="shared" ref="O102:O110" ca="1" si="38">SUM(E102:N102)</f>
        <v>0</v>
      </c>
      <c r="P102" s="7"/>
      <c r="Q102" s="25"/>
      <c r="R102" s="25"/>
      <c r="S102" s="25"/>
      <c r="T102" s="25"/>
      <c r="U102" s="25"/>
      <c r="V102" s="25"/>
      <c r="W102" s="25"/>
      <c r="X102" s="25"/>
      <c r="Y102" s="25"/>
      <c r="Z102" s="25"/>
      <c r="AA102" s="25"/>
    </row>
    <row r="103" spans="1:27" ht="13.2">
      <c r="A103" s="443" t="s">
        <v>434</v>
      </c>
      <c r="B103" s="451"/>
      <c r="C103" s="462" cm="1">
        <f t="array" aca="1" ref="C103" ca="1">_xlfn.IFS(MONTH($B$37)&gt;MONTH(C69),0,MONTH($B$37)&lt;=MONTH(C69),ROUNDUP((C98+C102)*$J$38+C99*$J$36,0))</f>
        <v>0</v>
      </c>
      <c r="D103" s="462" cm="1">
        <f t="array" aca="1" ref="D103" ca="1">_xlfn.IFS(MONTH($B$37)&gt;MONTH(D69),0,MONTH($B$37)&lt;=MONTH(D69),ROUNDUP((D98+D102)*$J$38+D99*$J$36,0))</f>
        <v>0</v>
      </c>
      <c r="E103" s="462" cm="1">
        <f t="array" aca="1" ref="E103" ca="1">_xlfn.IFS(MONTH($B$37)&gt;MONTH(E69),0,MONTH($B$37)&lt;=MONTH(E69),ROUNDUP((E98+E102)*$J$38+E99*$J$36,0))</f>
        <v>0</v>
      </c>
      <c r="F103" s="462" cm="1">
        <f t="array" aca="1" ref="F103" ca="1">_xlfn.IFS(MONTH($B$37)&gt;MONTH(F69),0,MONTH($B$37)&lt;=MONTH(F69),ROUNDUP((F98+F102)*$J$38+F99*$J$36,0))</f>
        <v>0</v>
      </c>
      <c r="G103" s="462" cm="1">
        <f t="array" aca="1" ref="G103" ca="1">_xlfn.IFS(MONTH($B$37)&gt;MONTH(G69),0,MONTH($B$37)&lt;=MONTH(G69),ROUNDUP((G98+G102)*$J$38+G99*$J$36,0))</f>
        <v>0</v>
      </c>
      <c r="H103" s="462" cm="1">
        <f t="array" aca="1" ref="H103" ca="1">_xlfn.IFS(MONTH($B$37)&gt;MONTH(H69),0,MONTH($B$37)&lt;=MONTH(H69),ROUNDUP((H98+H102)*$J$38+H99*$J$36,0))</f>
        <v>0</v>
      </c>
      <c r="I103" s="462" cm="1">
        <f t="array" aca="1" ref="I103" ca="1">_xlfn.IFS(MONTH($B$37)&gt;MONTH(I69),0,MONTH($B$37)&lt;=MONTH(I69),ROUNDUP((I98+I102)*$J$38+I99*$J$36,0))</f>
        <v>0</v>
      </c>
      <c r="J103" s="462" cm="1">
        <f t="array" aca="1" ref="J103" ca="1">_xlfn.IFS(MONTH($B$37)&gt;MONTH(J69),0,MONTH($B$37)&lt;=MONTH(J69),ROUNDUP((J98+J102)*$J$38+J99*$J$36,0))</f>
        <v>0</v>
      </c>
      <c r="K103" s="462" cm="1">
        <f t="array" aca="1" ref="K103" ca="1">_xlfn.IFS(MONTH($B$37)&gt;MONTH(K69),0,MONTH($B$37)&lt;=MONTH(K69),ROUNDUP((K98+K102)*$J$38+K99*$J$36,0))</f>
        <v>0</v>
      </c>
      <c r="L103" s="462" cm="1">
        <f t="array" aca="1" ref="L103" ca="1">_xlfn.IFS(MONTH($B$37)&gt;MONTH(L69),0,MONTH($B$37)&lt;=MONTH(L69),ROUNDUP((L98+L102)*$J$38+L99*$J$36,0))</f>
        <v>0</v>
      </c>
      <c r="M103" s="462" cm="1">
        <f t="array" aca="1" ref="M103" ca="1">_xlfn.IFS(MONTH($B$37)&gt;MONTH(M69),0,MONTH($B$37)&lt;=MONTH(M69),ROUNDUP((M98+M102)*$J$38+M99*$J$36,0))</f>
        <v>11</v>
      </c>
      <c r="N103" s="462" cm="1">
        <f t="array" aca="1" ref="N103" ca="1">_xlfn.IFS(MONTH($B$37)&gt;MONTH(N69),0,MONTH($B$37)&lt;=MONTH(N69),ROUNDUP((N98+N102)*$J$38+N99*$J$36,0))</f>
        <v>8</v>
      </c>
      <c r="O103" s="442">
        <f t="shared" ca="1" si="38"/>
        <v>19</v>
      </c>
      <c r="P103" s="7"/>
      <c r="Q103" s="25"/>
      <c r="R103" s="25"/>
      <c r="S103" s="25"/>
      <c r="T103" s="25"/>
      <c r="U103" s="25"/>
      <c r="V103" s="25"/>
      <c r="W103" s="25"/>
      <c r="X103" s="25"/>
      <c r="Y103" s="25"/>
      <c r="Z103" s="25"/>
      <c r="AA103" s="25"/>
    </row>
    <row r="104" spans="1:27" ht="13.2">
      <c r="A104" s="414" t="s">
        <v>435</v>
      </c>
      <c r="B104" s="451"/>
      <c r="C104" s="463" cm="1">
        <f t="array" aca="1" ref="C104" ca="1">_xlfn.IFS(MONTH($B$37)&gt;MONTH(C69),0,MONTH($B$37)&lt;=MONTH(C69),ROUNDUP((C98+C102)*$J$39+C99*$J$37,0))</f>
        <v>0</v>
      </c>
      <c r="D104" s="463" cm="1">
        <f t="array" aca="1" ref="D104" ca="1">_xlfn.IFS(MONTH($B$37)&gt;MONTH(D69),0,MONTH($B$37)&lt;=MONTH(D69),ROUNDUP((D98+D102)*$J$39+D99*$J$37,0))</f>
        <v>0</v>
      </c>
      <c r="E104" s="463" cm="1">
        <f t="array" aca="1" ref="E104" ca="1">_xlfn.IFS(MONTH($B$37)&gt;MONTH(E69),0,MONTH($B$37)&lt;=MONTH(E69),ROUNDUP((E98+E102)*$J$39+E99*$J$37,0))</f>
        <v>0</v>
      </c>
      <c r="F104" s="463" cm="1">
        <f t="array" aca="1" ref="F104" ca="1">_xlfn.IFS(MONTH($B$37)&gt;MONTH(F69),0,MONTH($B$37)&lt;=MONTH(F69),ROUNDUP((F98+F102)*$J$39+F99*$J$37,0))</f>
        <v>0</v>
      </c>
      <c r="G104" s="463" cm="1">
        <f t="array" aca="1" ref="G104" ca="1">_xlfn.IFS(MONTH($B$37)&gt;MONTH(G69),0,MONTH($B$37)&lt;=MONTH(G69),ROUNDUP((G98+G102)*$J$39+G99*$J$37,0))</f>
        <v>0</v>
      </c>
      <c r="H104" s="463" cm="1">
        <f t="array" aca="1" ref="H104" ca="1">_xlfn.IFS(MONTH($B$37)&gt;MONTH(H69),0,MONTH($B$37)&lt;=MONTH(H69),ROUNDUP((H98+H102)*$J$39+H99*$J$37,0))</f>
        <v>0</v>
      </c>
      <c r="I104" s="463" cm="1">
        <f t="array" aca="1" ref="I104" ca="1">_xlfn.IFS(MONTH($B$37)&gt;MONTH(I69),0,MONTH($B$37)&lt;=MONTH(I69),ROUNDUP((I98+I102)*$J$39+I99*$J$37,0))</f>
        <v>0</v>
      </c>
      <c r="J104" s="463" cm="1">
        <f t="array" aca="1" ref="J104" ca="1">_xlfn.IFS(MONTH($B$37)&gt;MONTH(J69),0,MONTH($B$37)&lt;=MONTH(J69),ROUNDUP((J98+J102)*$J$39+J99*$J$37,0))</f>
        <v>0</v>
      </c>
      <c r="K104" s="463" cm="1">
        <f t="array" aca="1" ref="K104" ca="1">_xlfn.IFS(MONTH($B$37)&gt;MONTH(K69),0,MONTH($B$37)&lt;=MONTH(K69),ROUNDUP((K98+K102)*$J$39+K99*$J$37,0))</f>
        <v>0</v>
      </c>
      <c r="L104" s="463" cm="1">
        <f t="array" aca="1" ref="L104" ca="1">_xlfn.IFS(MONTH($B$37)&gt;MONTH(L69),0,MONTH($B$37)&lt;=MONTH(L69),ROUNDUP((L98+L102)*$J$39+L99*$J$37,0))</f>
        <v>0</v>
      </c>
      <c r="M104" s="463" cm="1">
        <f t="array" aca="1" ref="M104" ca="1">_xlfn.IFS(MONTH($B$37)&gt;MONTH(M69),0,MONTH($B$37)&lt;=MONTH(M69),ROUNDUP((M98+M102)*$J$39+M99*$J$37,0))</f>
        <v>8</v>
      </c>
      <c r="N104" s="463" cm="1">
        <f t="array" aca="1" ref="N104" ca="1">_xlfn.IFS(MONTH($B$37)&gt;MONTH(N69),0,MONTH($B$37)&lt;=MONTH(N69),ROUNDUP((N98+N102)*$J$39+N99*$J$37,0))</f>
        <v>7</v>
      </c>
      <c r="O104" s="418">
        <f t="shared" ca="1" si="38"/>
        <v>15</v>
      </c>
      <c r="P104" s="7"/>
      <c r="Q104" s="25"/>
      <c r="R104" s="25"/>
      <c r="S104" s="25"/>
      <c r="T104" s="25"/>
      <c r="U104" s="25"/>
      <c r="V104" s="25"/>
      <c r="W104" s="25"/>
      <c r="X104" s="25"/>
      <c r="Y104" s="25"/>
      <c r="Z104" s="25"/>
      <c r="AA104" s="25"/>
    </row>
    <row r="105" spans="1:27" ht="13.2">
      <c r="A105" s="446" t="s">
        <v>436</v>
      </c>
      <c r="B105" s="447"/>
      <c r="C105" s="450"/>
      <c r="D105" s="439"/>
      <c r="E105" s="439"/>
      <c r="F105" s="439"/>
      <c r="G105" s="439"/>
      <c r="H105" s="439"/>
      <c r="I105" s="439"/>
      <c r="J105" s="439"/>
      <c r="K105" s="439"/>
      <c r="L105" s="439"/>
      <c r="M105" s="439"/>
      <c r="N105" s="440"/>
      <c r="O105" s="422">
        <f t="shared" si="38"/>
        <v>0</v>
      </c>
      <c r="P105" s="7"/>
      <c r="Q105" s="25"/>
      <c r="R105" s="25"/>
      <c r="S105" s="25"/>
      <c r="T105" s="25"/>
      <c r="U105" s="25"/>
      <c r="V105" s="25"/>
      <c r="W105" s="25"/>
      <c r="X105" s="25"/>
      <c r="Y105" s="25"/>
      <c r="Z105" s="25"/>
      <c r="AA105" s="25"/>
    </row>
    <row r="106" spans="1:27" ht="13.2">
      <c r="A106" s="411" t="s">
        <v>437</v>
      </c>
      <c r="B106" s="459"/>
      <c r="C106" s="449" cm="1">
        <f t="array" aca="1" ref="C106" ca="1">_xlfn.IFS(MONTH($B$37)&gt;MONTH(C69),0,MONTH($B$37)&lt;=MONTH(C69),$L$34)</f>
        <v>0</v>
      </c>
      <c r="D106" s="449" cm="1">
        <f t="array" aca="1" ref="D106" ca="1">_xlfn.IFS(MONTH($B$37)&gt;MONTH(D69),0,MONTH($B$37)&lt;=MONTH(D69),$L$34)</f>
        <v>0</v>
      </c>
      <c r="E106" s="449" cm="1">
        <f t="array" aca="1" ref="E106" ca="1">_xlfn.IFS(MONTH($B$37)&gt;MONTH(E69),0,MONTH($B$37)&lt;=MONTH(E69),$L$34)</f>
        <v>0</v>
      </c>
      <c r="F106" s="449" cm="1">
        <f t="array" aca="1" ref="F106" ca="1">_xlfn.IFS(MONTH($B$37)&gt;MONTH(F69),0,MONTH($B$37)&lt;=MONTH(F69),$L$34)</f>
        <v>0</v>
      </c>
      <c r="G106" s="449" cm="1">
        <f t="array" aca="1" ref="G106" ca="1">_xlfn.IFS(MONTH($B$37)&gt;MONTH(G69),0,MONTH($B$37)&lt;=MONTH(G69),$L$34)</f>
        <v>0</v>
      </c>
      <c r="H106" s="449" cm="1">
        <f t="array" aca="1" ref="H106" ca="1">_xlfn.IFS(MONTH($B$37)&gt;MONTH(H69),0,MONTH($B$37)&lt;=MONTH(H69),$L$34)</f>
        <v>0</v>
      </c>
      <c r="I106" s="449" cm="1">
        <f t="array" aca="1" ref="I106" ca="1">_xlfn.IFS(MONTH($B$37)&gt;MONTH(I69),0,MONTH($B$37)&lt;=MONTH(I69),$L$34)</f>
        <v>0</v>
      </c>
      <c r="J106" s="449" cm="1">
        <f t="array" aca="1" ref="J106" ca="1">_xlfn.IFS(MONTH($B$37)&gt;MONTH(J69),0,MONTH($B$37)&lt;=MONTH(J69),$L$34)</f>
        <v>0</v>
      </c>
      <c r="K106" s="449" cm="1">
        <f t="array" aca="1" ref="K106" ca="1">_xlfn.IFS(MONTH($B$37)&gt;MONTH(K69),0,MONTH($B$37)&lt;=MONTH(K69),$L$34)</f>
        <v>0</v>
      </c>
      <c r="L106" s="449" cm="1">
        <f t="array" aca="1" ref="L106" ca="1">_xlfn.IFS(MONTH($B$37)&gt;MONTH(L69),0,MONTH($B$37)&lt;=MONTH(L69),$L$34)</f>
        <v>0</v>
      </c>
      <c r="M106" s="449" cm="1">
        <f t="array" aca="1" ref="M106" ca="1">_xlfn.IFS(MONTH($B$37)&gt;MONTH(M69),0,MONTH($B$37)&lt;=MONTH(M69),$L$34)</f>
        <v>3</v>
      </c>
      <c r="N106" s="449" cm="1">
        <f t="array" aca="1" ref="N106" ca="1">_xlfn.IFS(MONTH($B$37)&gt;MONTH(N69),0,MONTH($B$37)&lt;=MONTH(N69),$L$34)</f>
        <v>3</v>
      </c>
      <c r="O106" s="442">
        <f t="shared" ca="1" si="38"/>
        <v>6</v>
      </c>
      <c r="P106" s="7"/>
      <c r="Q106" s="25"/>
      <c r="R106" s="25"/>
      <c r="S106" s="25"/>
      <c r="T106" s="25"/>
      <c r="U106" s="25"/>
      <c r="V106" s="25"/>
      <c r="W106" s="25"/>
      <c r="X106" s="25"/>
      <c r="Y106" s="25"/>
      <c r="Z106" s="25"/>
      <c r="AA106" s="25"/>
    </row>
    <row r="107" spans="1:27" ht="13.2">
      <c r="A107" s="443" t="s">
        <v>438</v>
      </c>
      <c r="B107" s="451"/>
      <c r="C107" s="452" cm="1">
        <f t="array" aca="1" ref="C107" ca="1">_xlfn.IFS(MONTH($B$37)&gt;MONTH(C69),0,MONTH($B$37)&lt;=MONTH(C69),C106*$L$35)</f>
        <v>0</v>
      </c>
      <c r="D107" s="452" cm="1">
        <f t="array" aca="1" ref="D107" ca="1">_xlfn.IFS(MONTH($B$37)&gt;MONTH(D69),0,MONTH($B$37)&lt;=MONTH(D69),D106*$L$35)</f>
        <v>0</v>
      </c>
      <c r="E107" s="452" cm="1">
        <f t="array" aca="1" ref="E107" ca="1">_xlfn.IFS(MONTH($B$37)&gt;MONTH(E69),0,MONTH($B$37)&lt;=MONTH(E69),E106*$L$35)</f>
        <v>0</v>
      </c>
      <c r="F107" s="452" cm="1">
        <f t="array" aca="1" ref="F107" ca="1">_xlfn.IFS(MONTH($B$37)&gt;MONTH(F69),0,MONTH($B$37)&lt;=MONTH(F69),F106*$L$35)</f>
        <v>0</v>
      </c>
      <c r="G107" s="452" cm="1">
        <f t="array" aca="1" ref="G107" ca="1">_xlfn.IFS(MONTH($B$37)&gt;MONTH(G69),0,MONTH($B$37)&lt;=MONTH(G69),G106*$L$35)</f>
        <v>0</v>
      </c>
      <c r="H107" s="452" cm="1">
        <f t="array" aca="1" ref="H107" ca="1">_xlfn.IFS(MONTH($B$37)&gt;MONTH(H69),0,MONTH($B$37)&lt;=MONTH(H69),H106*$L$35)</f>
        <v>0</v>
      </c>
      <c r="I107" s="452" cm="1">
        <f t="array" aca="1" ref="I107" ca="1">_xlfn.IFS(MONTH($B$37)&gt;MONTH(I69),0,MONTH($B$37)&lt;=MONTH(I69),I106*$L$35)</f>
        <v>0</v>
      </c>
      <c r="J107" s="452" cm="1">
        <f t="array" aca="1" ref="J107" ca="1">_xlfn.IFS(MONTH($B$37)&gt;MONTH(J69),0,MONTH($B$37)&lt;=MONTH(J69),J106*$L$35)</f>
        <v>0</v>
      </c>
      <c r="K107" s="452" cm="1">
        <f t="array" aca="1" ref="K107" ca="1">_xlfn.IFS(MONTH($B$37)&gt;MONTH(K69),0,MONTH($B$37)&lt;=MONTH(K69),K106*$L$35)</f>
        <v>0</v>
      </c>
      <c r="L107" s="452" cm="1">
        <f t="array" aca="1" ref="L107" ca="1">_xlfn.IFS(MONTH($B$37)&gt;MONTH(L69),0,MONTH($B$37)&lt;=MONTH(L69),L106*$L$35)</f>
        <v>0</v>
      </c>
      <c r="M107" s="452" cm="1">
        <f t="array" aca="1" ref="M107" ca="1">_xlfn.IFS(MONTH($B$37)&gt;MONTH(M69),0,MONTH($B$37)&lt;=MONTH(M69),M106*$L$35)</f>
        <v>3</v>
      </c>
      <c r="N107" s="452" cm="1">
        <f t="array" aca="1" ref="N107" ca="1">_xlfn.IFS(MONTH($B$37)&gt;MONTH(N69),0,MONTH($B$37)&lt;=MONTH(N69),N106*$L$35)</f>
        <v>3</v>
      </c>
      <c r="O107" s="362">
        <f t="shared" ca="1" si="38"/>
        <v>6</v>
      </c>
      <c r="P107" s="7"/>
      <c r="Q107" s="25"/>
      <c r="R107" s="25"/>
      <c r="S107" s="25"/>
      <c r="T107" s="25"/>
      <c r="U107" s="25"/>
      <c r="V107" s="25"/>
      <c r="W107" s="25"/>
      <c r="X107" s="25"/>
      <c r="Y107" s="25"/>
      <c r="Z107" s="25"/>
      <c r="AA107" s="25"/>
    </row>
    <row r="108" spans="1:27" ht="13.2">
      <c r="A108" s="443" t="s">
        <v>353</v>
      </c>
      <c r="B108" s="451"/>
      <c r="C108" s="452" cm="1">
        <f t="array" aca="1" ref="C108" ca="1">_xlfn.IFS(MONTH($B$37)&gt;MONTH(C69),0,MONTH($B$37)&lt;=MONTH(C69),C106*$L$36)</f>
        <v>0</v>
      </c>
      <c r="D108" s="452" cm="1">
        <f t="array" aca="1" ref="D108" ca="1">_xlfn.IFS(MONTH($B$37)&gt;MONTH(D69),0,MONTH($B$37)&lt;=MONTH(D69),D106*$L$36)</f>
        <v>0</v>
      </c>
      <c r="E108" s="452" cm="1">
        <f t="array" aca="1" ref="E108" ca="1">_xlfn.IFS(MONTH($B$37)&gt;MONTH(E69),0,MONTH($B$37)&lt;=MONTH(E69),E106*$L$36)</f>
        <v>0</v>
      </c>
      <c r="F108" s="452" cm="1">
        <f t="array" aca="1" ref="F108" ca="1">_xlfn.IFS(MONTH($B$37)&gt;MONTH(F69),0,MONTH($B$37)&lt;=MONTH(F69),F106*$L$36)</f>
        <v>0</v>
      </c>
      <c r="G108" s="452" cm="1">
        <f t="array" aca="1" ref="G108" ca="1">_xlfn.IFS(MONTH($B$37)&gt;MONTH(G69),0,MONTH($B$37)&lt;=MONTH(G69),G106*$L$36)</f>
        <v>0</v>
      </c>
      <c r="H108" s="452" cm="1">
        <f t="array" aca="1" ref="H108" ca="1">_xlfn.IFS(MONTH($B$37)&gt;MONTH(H69),0,MONTH($B$37)&lt;=MONTH(H69),H106*$L$36)</f>
        <v>0</v>
      </c>
      <c r="I108" s="452" cm="1">
        <f t="array" aca="1" ref="I108" ca="1">_xlfn.IFS(MONTH($B$37)&gt;MONTH(I69),0,MONTH($B$37)&lt;=MONTH(I69),I106*$L$36)</f>
        <v>0</v>
      </c>
      <c r="J108" s="452" cm="1">
        <f t="array" aca="1" ref="J108" ca="1">_xlfn.IFS(MONTH($B$37)&gt;MONTH(J69),0,MONTH($B$37)&lt;=MONTH(J69),J106*$L$36)</f>
        <v>0</v>
      </c>
      <c r="K108" s="452" cm="1">
        <f t="array" aca="1" ref="K108" ca="1">_xlfn.IFS(MONTH($B$37)&gt;MONTH(K69),0,MONTH($B$37)&lt;=MONTH(K69),K106*$L$36)</f>
        <v>0</v>
      </c>
      <c r="L108" s="452" cm="1">
        <f t="array" aca="1" ref="L108" ca="1">_xlfn.IFS(MONTH($B$37)&gt;MONTH(L69),0,MONTH($B$37)&lt;=MONTH(L69),L106*$L$36)</f>
        <v>0</v>
      </c>
      <c r="M108" s="452" cm="1">
        <f t="array" aca="1" ref="M108" ca="1">_xlfn.IFS(MONTH($B$37)&gt;MONTH(M69),0,MONTH($B$37)&lt;=MONTH(M69),M106*$L$36)</f>
        <v>1.5</v>
      </c>
      <c r="N108" s="452" cm="1">
        <f t="array" aca="1" ref="N108" ca="1">_xlfn.IFS(MONTH($B$37)&gt;MONTH(N69),0,MONTH($B$37)&lt;=MONTH(N69),N106*$L$36)</f>
        <v>1.5</v>
      </c>
      <c r="O108" s="362">
        <f t="shared" ca="1" si="38"/>
        <v>3</v>
      </c>
      <c r="P108" s="7"/>
      <c r="Q108" s="25"/>
      <c r="R108" s="25"/>
      <c r="S108" s="25"/>
      <c r="T108" s="25"/>
      <c r="U108" s="25"/>
      <c r="V108" s="25"/>
      <c r="W108" s="25"/>
      <c r="X108" s="25"/>
      <c r="Y108" s="25"/>
      <c r="Z108" s="25"/>
      <c r="AA108" s="25"/>
    </row>
    <row r="109" spans="1:27" ht="13.2">
      <c r="A109" s="443" t="s">
        <v>439</v>
      </c>
      <c r="B109" s="451"/>
      <c r="C109" s="452" cm="1">
        <f t="array" aca="1" ref="C109" ca="1">_xlfn.IFS(MONTH($B$37)&gt;MONTH(C69),0,MONTH($B$37)&lt;=MONTH(C69),ROUNDUP(C106*$L$37,0))</f>
        <v>0</v>
      </c>
      <c r="D109" s="452" cm="1">
        <f t="array" aca="1" ref="D109" ca="1">_xlfn.IFS(MONTH($B$37)&gt;MONTH(D69),0,MONTH($B$37)&lt;=MONTH(D69),ROUNDUP(D106*$L$37,0))</f>
        <v>0</v>
      </c>
      <c r="E109" s="452" cm="1">
        <f t="array" aca="1" ref="E109" ca="1">_xlfn.IFS(MONTH($B$37)&gt;MONTH(E69),0,MONTH($B$37)&lt;=MONTH(E69),ROUNDUP(E106*$L$37,0))</f>
        <v>0</v>
      </c>
      <c r="F109" s="452" cm="1">
        <f t="array" aca="1" ref="F109" ca="1">_xlfn.IFS(MONTH($B$37)&gt;MONTH(F69),0,MONTH($B$37)&lt;=MONTH(F69),ROUNDUP(F106*$L$37,0))</f>
        <v>0</v>
      </c>
      <c r="G109" s="452" cm="1">
        <f t="array" aca="1" ref="G109" ca="1">_xlfn.IFS(MONTH($B$37)&gt;MONTH(G69),0,MONTH($B$37)&lt;=MONTH(G69),ROUNDUP(G106*$L$37,0))</f>
        <v>0</v>
      </c>
      <c r="H109" s="452" cm="1">
        <f t="array" aca="1" ref="H109" ca="1">_xlfn.IFS(MONTH($B$37)&gt;MONTH(H69),0,MONTH($B$37)&lt;=MONTH(H69),ROUNDUP(H106*$L$37,0))</f>
        <v>0</v>
      </c>
      <c r="I109" s="452" cm="1">
        <f t="array" aca="1" ref="I109" ca="1">_xlfn.IFS(MONTH($B$37)&gt;MONTH(I69),0,MONTH($B$37)&lt;=MONTH(I69),ROUNDUP(I106*$L$37,0))</f>
        <v>0</v>
      </c>
      <c r="J109" s="452" cm="1">
        <f t="array" aca="1" ref="J109" ca="1">_xlfn.IFS(MONTH($B$37)&gt;MONTH(J69),0,MONTH($B$37)&lt;=MONTH(J69),ROUNDUP(J106*$L$37,0))</f>
        <v>0</v>
      </c>
      <c r="K109" s="452" cm="1">
        <f t="array" aca="1" ref="K109" ca="1">_xlfn.IFS(MONTH($B$37)&gt;MONTH(K69),0,MONTH($B$37)&lt;=MONTH(K69),ROUNDUP(K106*$L$37,0))</f>
        <v>0</v>
      </c>
      <c r="L109" s="452" cm="1">
        <f t="array" aca="1" ref="L109" ca="1">_xlfn.IFS(MONTH($B$37)&gt;MONTH(L69),0,MONTH($B$37)&lt;=MONTH(L69),ROUNDUP(L106*$L$37,0))</f>
        <v>0</v>
      </c>
      <c r="M109" s="452" cm="1">
        <f t="array" aca="1" ref="M109" ca="1">_xlfn.IFS(MONTH($B$37)&gt;MONTH(M69),0,MONTH($B$37)&lt;=MONTH(M69),ROUNDUP(M106*$L$37,0))</f>
        <v>1</v>
      </c>
      <c r="N109" s="452" cm="1">
        <f t="array" aca="1" ref="N109" ca="1">_xlfn.IFS(MONTH($B$37)&gt;MONTH(N69),0,MONTH($B$37)&lt;=MONTH(N69),ROUNDUP(N106*$L$37,0))</f>
        <v>1</v>
      </c>
      <c r="O109" s="362">
        <f t="shared" ca="1" si="38"/>
        <v>2</v>
      </c>
      <c r="P109" s="7"/>
      <c r="Q109" s="25"/>
      <c r="R109" s="25"/>
      <c r="S109" s="25"/>
      <c r="T109" s="25"/>
      <c r="U109" s="25"/>
      <c r="V109" s="25"/>
      <c r="W109" s="25"/>
      <c r="X109" s="25"/>
      <c r="Y109" s="25"/>
      <c r="Z109" s="25"/>
      <c r="AA109" s="25"/>
    </row>
    <row r="110" spans="1:27" ht="13.2">
      <c r="A110" s="443" t="s">
        <v>440</v>
      </c>
      <c r="B110" s="464"/>
      <c r="C110" s="452" cm="1">
        <f t="array" aca="1" ref="C110" ca="1">_xlfn.IFS(MONTH($B$37)&gt;MONTH(C69),0,MONTH($B$37)&lt;=MONTH(C69),ROUNDUP(C82-C109,0))</f>
        <v>0</v>
      </c>
      <c r="D110" s="452" cm="1">
        <f t="array" aca="1" ref="D110" ca="1">_xlfn.IFS(MONTH($B$37)&gt;MONTH(D69),0,MONTH($B$37)&lt;=MONTH(D69),ROUNDUP(D82-D109,0))</f>
        <v>0</v>
      </c>
      <c r="E110" s="452" cm="1">
        <f t="array" aca="1" ref="E110" ca="1">_xlfn.IFS(MONTH($B$37)&gt;MONTH(E69),0,MONTH($B$37)&lt;=MONTH(E69),ROUNDUP(E82-E109,0))</f>
        <v>0</v>
      </c>
      <c r="F110" s="452" cm="1">
        <f t="array" aca="1" ref="F110" ca="1">_xlfn.IFS(MONTH($B$37)&gt;MONTH(F69),0,MONTH($B$37)&lt;=MONTH(F69),ROUNDUP(F82-F109,0))</f>
        <v>0</v>
      </c>
      <c r="G110" s="452" cm="1">
        <f t="array" aca="1" ref="G110" ca="1">_xlfn.IFS(MONTH($B$37)&gt;MONTH(G69),0,MONTH($B$37)&lt;=MONTH(G69),ROUNDUP(G82-G109,0))</f>
        <v>0</v>
      </c>
      <c r="H110" s="452" cm="1">
        <f t="array" aca="1" ref="H110" ca="1">_xlfn.IFS(MONTH($B$37)&gt;MONTH(H69),0,MONTH($B$37)&lt;=MONTH(H69),ROUNDUP(H82-H109,0))</f>
        <v>0</v>
      </c>
      <c r="I110" s="452" cm="1">
        <f t="array" aca="1" ref="I110" ca="1">_xlfn.IFS(MONTH($B$37)&gt;MONTH(I69),0,MONTH($B$37)&lt;=MONTH(I69),ROUNDUP(I82-I109,0))</f>
        <v>0</v>
      </c>
      <c r="J110" s="452" cm="1">
        <f t="array" aca="1" ref="J110" ca="1">_xlfn.IFS(MONTH($B$37)&gt;MONTH(J69),0,MONTH($B$37)&lt;=MONTH(J69),ROUNDUP(J82-J109,0))</f>
        <v>0</v>
      </c>
      <c r="K110" s="452" cm="1">
        <f t="array" aca="1" ref="K110" ca="1">_xlfn.IFS(MONTH($B$37)&gt;MONTH(K69),0,MONTH($B$37)&lt;=MONTH(K69),ROUNDUP(K82-K109,0))</f>
        <v>0</v>
      </c>
      <c r="L110" s="452" cm="1">
        <f t="array" aca="1" ref="L110" ca="1">_xlfn.IFS(MONTH($B$37)&gt;MONTH(L69),0,MONTH($B$37)&lt;=MONTH(L69),ROUNDUP(L82-L109,0))</f>
        <v>0</v>
      </c>
      <c r="M110" s="452" cm="1">
        <f t="array" aca="1" ref="M110" ca="1">_xlfn.IFS(MONTH($B$37)&gt;MONTH(M69),0,MONTH($B$37)&lt;=MONTH(M69),ROUNDUP(M82-M109,0))</f>
        <v>-5</v>
      </c>
      <c r="N110" s="452" cm="1">
        <f t="array" aca="1" ref="N110" ca="1">_xlfn.IFS(MONTH($B$37)&gt;MONTH(N69),0,MONTH($B$37)&lt;=MONTH(N69),ROUNDUP(N82-N109,0))</f>
        <v>-5</v>
      </c>
      <c r="O110" s="362">
        <f t="shared" ca="1" si="38"/>
        <v>-10</v>
      </c>
      <c r="P110" s="7"/>
      <c r="Q110" s="25"/>
      <c r="R110" s="25"/>
      <c r="S110" s="25"/>
      <c r="T110" s="25"/>
      <c r="U110" s="25"/>
      <c r="V110" s="25"/>
      <c r="W110" s="25"/>
      <c r="X110" s="25"/>
      <c r="Y110" s="25"/>
      <c r="Z110" s="25"/>
      <c r="AA110" s="25"/>
    </row>
    <row r="111" spans="1:27" ht="13.2">
      <c r="A111" s="25"/>
      <c r="B111" s="8"/>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spans="1:27" ht="13.2">
      <c r="A112" s="25"/>
      <c r="B112" s="8"/>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ht="13.2">
      <c r="A113" s="25"/>
      <c r="B113" s="8"/>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ht="13.2">
      <c r="A114" s="25"/>
      <c r="B114" s="8"/>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ht="13.2">
      <c r="A115" s="25"/>
      <c r="B115" s="8"/>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spans="1:27" ht="13.2">
      <c r="A116" s="25"/>
      <c r="B116" s="8"/>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spans="1:27" ht="13.2">
      <c r="A117" s="25"/>
      <c r="B117" s="8"/>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spans="1:27" ht="13.2">
      <c r="A118" s="25"/>
      <c r="B118" s="8"/>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ht="13.2">
      <c r="A119" s="25"/>
      <c r="B119" s="8"/>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spans="1:27" ht="13.2">
      <c r="A120" s="25"/>
      <c r="B120" s="8"/>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spans="1:27" ht="13.2">
      <c r="A121" s="25"/>
      <c r="B121" s="8"/>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spans="1:27" ht="13.2">
      <c r="A122" s="25"/>
      <c r="B122" s="8"/>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spans="1:27" ht="13.2">
      <c r="A123" s="25"/>
      <c r="B123" s="8"/>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7" ht="13.2">
      <c r="A124" s="25"/>
      <c r="B124" s="8"/>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spans="1:27" ht="13.2">
      <c r="A125" s="25"/>
      <c r="B125" s="8"/>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1:27" ht="13.2">
      <c r="A126" s="25"/>
      <c r="B126" s="8"/>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ht="13.2">
      <c r="A127" s="25"/>
      <c r="B127" s="8"/>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spans="1:27" ht="13.2">
      <c r="A128" s="25"/>
      <c r="B128" s="8"/>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spans="1:27" ht="13.2">
      <c r="A129" s="25"/>
      <c r="B129" s="8"/>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spans="1:27" ht="13.2">
      <c r="A130" s="25"/>
      <c r="B130" s="8"/>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spans="1:27" ht="13.2">
      <c r="A131" s="25"/>
      <c r="B131" s="8"/>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spans="1:27" ht="13.2">
      <c r="A132" s="25"/>
      <c r="B132" s="8"/>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spans="1:27" ht="13.2">
      <c r="A133" s="25"/>
      <c r="B133" s="8"/>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spans="1:27" ht="13.2">
      <c r="A134" s="25"/>
      <c r="B134" s="8"/>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ht="13.2">
      <c r="A135" s="25"/>
      <c r="B135" s="8"/>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spans="1:27" ht="13.2">
      <c r="A136" s="25"/>
      <c r="B136" s="8"/>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spans="1:27" ht="13.2">
      <c r="A137" s="25"/>
      <c r="B137" s="8"/>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spans="1:27" ht="13.2">
      <c r="A138" s="25"/>
      <c r="B138" s="8"/>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spans="1:27" ht="13.2">
      <c r="A139" s="25"/>
      <c r="B139" s="8"/>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spans="1:27" ht="13.2">
      <c r="A140" s="25"/>
      <c r="B140" s="8"/>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ht="13.2">
      <c r="A141" s="25"/>
      <c r="B141" s="8"/>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ht="13.2">
      <c r="A142" s="25"/>
      <c r="B142" s="8"/>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spans="1:27" ht="13.2">
      <c r="A143" s="25"/>
      <c r="B143" s="8"/>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spans="1:27" ht="13.2">
      <c r="A144" s="25"/>
      <c r="B144" s="8"/>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spans="1:27" ht="13.2">
      <c r="A145" s="25"/>
      <c r="B145" s="8"/>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spans="1:27" ht="13.2">
      <c r="A146" s="25"/>
      <c r="B146" s="8"/>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ht="13.2">
      <c r="A147" s="25"/>
      <c r="B147" s="8"/>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ht="13.2">
      <c r="A148" s="25"/>
      <c r="B148" s="8"/>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ht="13.2">
      <c r="A149" s="25"/>
      <c r="B149" s="8"/>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ht="13.2">
      <c r="A150" s="25"/>
      <c r="B150" s="8"/>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ht="13.2">
      <c r="A151" s="25"/>
      <c r="B151" s="8"/>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spans="1:27" ht="13.2">
      <c r="A152" s="25"/>
      <c r="B152" s="8"/>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spans="1:27" ht="13.2">
      <c r="A153" s="25"/>
      <c r="B153" s="8"/>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spans="1:27" ht="13.2">
      <c r="A154" s="25"/>
      <c r="B154" s="8"/>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spans="1:27" ht="13.2">
      <c r="A155" s="25"/>
      <c r="B155" s="8"/>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spans="1:27" ht="13.2">
      <c r="A156" s="25"/>
      <c r="B156" s="8"/>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ht="13.2">
      <c r="A157" s="25"/>
      <c r="B157" s="8"/>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ht="13.2">
      <c r="A158" s="25"/>
      <c r="B158" s="8"/>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spans="1:27" ht="13.2">
      <c r="A159" s="25"/>
      <c r="B159" s="8"/>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ht="13.2">
      <c r="A160" s="25"/>
      <c r="B160" s="8"/>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spans="1:27" ht="13.2">
      <c r="A161" s="25"/>
      <c r="B161" s="8"/>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ht="13.2">
      <c r="A162" s="25"/>
      <c r="B162" s="8"/>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spans="1:27" ht="13.2">
      <c r="A163" s="25"/>
      <c r="B163" s="8"/>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spans="1:27" ht="13.2">
      <c r="A164" s="25"/>
      <c r="B164" s="8"/>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ht="13.2">
      <c r="A165" s="25"/>
      <c r="B165" s="8"/>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spans="1:27" ht="13.2">
      <c r="A166" s="25"/>
      <c r="B166" s="8"/>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spans="1:27" ht="13.2">
      <c r="A167" s="25"/>
      <c r="B167" s="8"/>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27" ht="13.2">
      <c r="A168" s="25"/>
      <c r="B168" s="8"/>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spans="1:27" ht="13.2">
      <c r="A169" s="25"/>
      <c r="B169" s="8"/>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spans="1:27" ht="13.2">
      <c r="A170" s="25"/>
      <c r="B170" s="8"/>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spans="1:27" ht="13.2">
      <c r="A171" s="25"/>
      <c r="B171" s="8"/>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spans="1:27" ht="13.2">
      <c r="A172" s="25"/>
      <c r="B172" s="8"/>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27" ht="13.2">
      <c r="A173" s="25"/>
      <c r="B173" s="8"/>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27" ht="13.2">
      <c r="A174" s="25"/>
      <c r="B174" s="8"/>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spans="1:27" ht="13.2">
      <c r="A175" s="25"/>
      <c r="B175" s="8"/>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27" ht="13.2">
      <c r="A176" s="25"/>
      <c r="B176" s="8"/>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ht="13.2">
      <c r="A177" s="25"/>
      <c r="B177" s="8"/>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spans="1:27" ht="13.2">
      <c r="A178" s="25"/>
      <c r="B178" s="8"/>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ht="13.2">
      <c r="A179" s="25"/>
      <c r="B179" s="8"/>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spans="1:27" ht="13.2">
      <c r="A180" s="25"/>
      <c r="B180" s="8"/>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spans="1:27" ht="13.2">
      <c r="A181" s="25"/>
      <c r="B181" s="8"/>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spans="1:27" ht="13.2">
      <c r="A182" s="25"/>
      <c r="B182" s="8"/>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row r="183" spans="1:27" ht="13.2">
      <c r="A183" s="25"/>
      <c r="B183" s="8"/>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spans="1:27" ht="13.2">
      <c r="A184" s="25"/>
      <c r="B184" s="8"/>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spans="1:27" ht="13.2">
      <c r="A185" s="25"/>
      <c r="B185" s="8"/>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spans="1:27" ht="13.2">
      <c r="A186" s="25"/>
      <c r="B186" s="8"/>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spans="1:27" ht="13.2">
      <c r="A187" s="25"/>
      <c r="B187" s="8"/>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spans="1:27" ht="13.2">
      <c r="A188" s="25"/>
      <c r="B188" s="8"/>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row>
    <row r="189" spans="1:27" ht="13.2">
      <c r="A189" s="25"/>
      <c r="B189" s="8"/>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spans="1:27" ht="13.2">
      <c r="A190" s="25"/>
      <c r="B190" s="8"/>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row>
    <row r="191" spans="1:27" ht="13.2">
      <c r="A191" s="25"/>
      <c r="B191" s="8"/>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row>
    <row r="192" spans="1:27" ht="13.2">
      <c r="A192" s="25"/>
      <c r="B192" s="8"/>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ht="13.2">
      <c r="A193" s="25"/>
      <c r="B193" s="8"/>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row>
    <row r="194" spans="1:27" ht="13.2">
      <c r="A194" s="25"/>
      <c r="B194" s="8"/>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row>
    <row r="195" spans="1:27" ht="13.2">
      <c r="A195" s="25"/>
      <c r="B195" s="8"/>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row>
    <row r="196" spans="1:27" ht="13.2">
      <c r="A196" s="25"/>
      <c r="B196" s="8"/>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row>
    <row r="197" spans="1:27" ht="13.2">
      <c r="A197" s="25"/>
      <c r="B197" s="8"/>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row>
    <row r="198" spans="1:27" ht="13.2">
      <c r="A198" s="25"/>
      <c r="B198" s="8"/>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row>
    <row r="199" spans="1:27" ht="13.2">
      <c r="A199" s="25"/>
      <c r="B199" s="8"/>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row>
    <row r="200" spans="1:27" ht="13.2">
      <c r="A200" s="25"/>
      <c r="B200" s="8"/>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row>
    <row r="201" spans="1:27" ht="13.2">
      <c r="A201" s="25"/>
      <c r="B201" s="8"/>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row>
    <row r="202" spans="1:27" ht="13.2">
      <c r="A202" s="25"/>
      <c r="B202" s="8"/>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row>
    <row r="203" spans="1:27" ht="13.2">
      <c r="A203" s="25"/>
      <c r="B203" s="8"/>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row>
    <row r="204" spans="1:27" ht="13.2">
      <c r="A204" s="25"/>
      <c r="B204" s="8"/>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row>
    <row r="205" spans="1:27" ht="13.2">
      <c r="A205" s="25"/>
      <c r="B205" s="8"/>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row>
    <row r="206" spans="1:27" ht="13.2">
      <c r="A206" s="25"/>
      <c r="B206" s="8"/>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row>
    <row r="207" spans="1:27" ht="13.2">
      <c r="A207" s="25"/>
      <c r="B207" s="8"/>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row>
    <row r="208" spans="1:27" ht="13.2">
      <c r="A208" s="25"/>
      <c r="B208" s="8"/>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row>
    <row r="209" spans="1:27" ht="13.2">
      <c r="A209" s="25"/>
      <c r="B209" s="8"/>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row>
    <row r="210" spans="1:27" ht="13.2">
      <c r="A210" s="25"/>
      <c r="B210" s="8"/>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row>
    <row r="211" spans="1:27" ht="13.2">
      <c r="A211" s="25"/>
      <c r="B211" s="8"/>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row>
    <row r="212" spans="1:27" ht="13.2">
      <c r="A212" s="25"/>
      <c r="B212" s="8"/>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row>
    <row r="213" spans="1:27" ht="13.2">
      <c r="A213" s="25"/>
      <c r="B213" s="8"/>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row>
    <row r="214" spans="1:27" ht="13.2">
      <c r="A214" s="25"/>
      <c r="B214" s="8"/>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row>
    <row r="215" spans="1:27" ht="13.2">
      <c r="A215" s="25"/>
      <c r="B215" s="8"/>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row>
    <row r="216" spans="1:27" ht="13.2">
      <c r="A216" s="25"/>
      <c r="B216" s="8"/>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row>
    <row r="217" spans="1:27" ht="13.2">
      <c r="A217" s="25"/>
      <c r="B217" s="8"/>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row>
    <row r="218" spans="1:27" ht="13.2">
      <c r="A218" s="25"/>
      <c r="B218" s="8"/>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row>
    <row r="219" spans="1:27" ht="13.2">
      <c r="A219" s="25"/>
      <c r="B219" s="8"/>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row>
    <row r="220" spans="1:27" ht="13.2">
      <c r="A220" s="25"/>
      <c r="B220" s="8"/>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row>
    <row r="221" spans="1:27" ht="13.2">
      <c r="A221" s="25"/>
      <c r="B221" s="8"/>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1:27" ht="13.2">
      <c r="A222" s="25"/>
      <c r="B222" s="8"/>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row>
    <row r="223" spans="1:27" ht="13.2">
      <c r="A223" s="25"/>
      <c r="B223" s="8"/>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row>
    <row r="224" spans="1:27" ht="13.2">
      <c r="A224" s="25"/>
      <c r="B224" s="8"/>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row>
    <row r="225" spans="1:27" ht="13.2">
      <c r="A225" s="25"/>
      <c r="B225" s="8"/>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row r="226" spans="1:27" ht="13.2">
      <c r="A226" s="25"/>
      <c r="B226" s="8"/>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row>
    <row r="227" spans="1:27" ht="13.2">
      <c r="A227" s="25"/>
      <c r="B227" s="8"/>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row>
    <row r="228" spans="1:27" ht="13.2">
      <c r="A228" s="25"/>
      <c r="B228" s="8"/>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row>
    <row r="229" spans="1:27" ht="13.2">
      <c r="A229" s="25"/>
      <c r="B229" s="8"/>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row>
    <row r="230" spans="1:27" ht="13.2">
      <c r="A230" s="25"/>
      <c r="B230" s="8"/>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row>
    <row r="231" spans="1:27" ht="13.2">
      <c r="A231" s="25"/>
      <c r="B231" s="8"/>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row>
    <row r="232" spans="1:27" ht="13.2">
      <c r="A232" s="25"/>
      <c r="B232" s="8"/>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row>
    <row r="233" spans="1:27" ht="13.2">
      <c r="A233" s="25"/>
      <c r="B233" s="8"/>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row>
    <row r="234" spans="1:27" ht="13.2">
      <c r="A234" s="25"/>
      <c r="B234" s="8"/>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row>
    <row r="235" spans="1:27" ht="13.2">
      <c r="A235" s="25"/>
      <c r="B235" s="8"/>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row>
    <row r="236" spans="1:27" ht="13.2">
      <c r="A236" s="25"/>
      <c r="B236" s="8"/>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row>
    <row r="237" spans="1:27" ht="13.2">
      <c r="A237" s="25"/>
      <c r="B237" s="8"/>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row>
    <row r="238" spans="1:27" ht="13.2">
      <c r="A238" s="25"/>
      <c r="B238" s="8"/>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row>
    <row r="239" spans="1:27" ht="13.2">
      <c r="A239" s="25"/>
      <c r="B239" s="8"/>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row>
    <row r="240" spans="1:27" ht="13.2">
      <c r="A240" s="25"/>
      <c r="B240" s="8"/>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row>
    <row r="241" spans="1:27" ht="13.2">
      <c r="A241" s="25"/>
      <c r="B241" s="8"/>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row>
    <row r="242" spans="1:27" ht="13.2">
      <c r="A242" s="25"/>
      <c r="B242" s="8"/>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row>
    <row r="243" spans="1:27" ht="13.2">
      <c r="A243" s="25"/>
      <c r="B243" s="8"/>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row r="244" spans="1:27" ht="13.2">
      <c r="A244" s="25"/>
      <c r="B244" s="8"/>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row>
    <row r="245" spans="1:27" ht="13.2">
      <c r="A245" s="25"/>
      <c r="B245" s="8"/>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row>
    <row r="246" spans="1:27" ht="13.2">
      <c r="A246" s="25"/>
      <c r="B246" s="8"/>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row>
    <row r="247" spans="1:27" ht="13.2">
      <c r="A247" s="25"/>
      <c r="B247" s="8"/>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row>
    <row r="248" spans="1:27" ht="13.2">
      <c r="A248" s="25"/>
      <c r="B248" s="8"/>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row>
    <row r="249" spans="1:27" ht="13.2">
      <c r="A249" s="25"/>
      <c r="B249" s="8"/>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row>
    <row r="250" spans="1:27" ht="13.2">
      <c r="A250" s="25"/>
      <c r="B250" s="8"/>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row>
    <row r="251" spans="1:27" ht="13.2">
      <c r="A251" s="25"/>
      <c r="B251" s="8"/>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row>
    <row r="252" spans="1:27" ht="13.2">
      <c r="A252" s="25"/>
      <c r="B252" s="8"/>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3" spans="1:27" ht="13.2">
      <c r="A253" s="25"/>
      <c r="B253" s="8"/>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row>
    <row r="254" spans="1:27" ht="13.2">
      <c r="A254" s="25"/>
      <c r="B254" s="8"/>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row>
    <row r="255" spans="1:27" ht="13.2">
      <c r="A255" s="25"/>
      <c r="B255" s="8"/>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row>
    <row r="256" spans="1:27" ht="13.2">
      <c r="A256" s="25"/>
      <c r="B256" s="8"/>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row r="257" spans="1:27" ht="13.2">
      <c r="A257" s="25"/>
      <c r="B257" s="8"/>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row>
    <row r="258" spans="1:27" ht="13.2">
      <c r="A258" s="25"/>
      <c r="B258" s="8"/>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row>
    <row r="259" spans="1:27" ht="13.2">
      <c r="A259" s="25"/>
      <c r="B259" s="8"/>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row>
    <row r="260" spans="1:27" ht="13.2">
      <c r="A260" s="25"/>
      <c r="B260" s="8"/>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row>
    <row r="261" spans="1:27" ht="13.2">
      <c r="A261" s="25"/>
      <c r="B261" s="8"/>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row>
    <row r="262" spans="1:27" ht="13.2">
      <c r="A262" s="25"/>
      <c r="B262" s="8"/>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row>
    <row r="263" spans="1:27" ht="13.2">
      <c r="A263" s="25"/>
      <c r="B263" s="8"/>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row>
    <row r="264" spans="1:27" ht="13.2">
      <c r="A264" s="25"/>
      <c r="B264" s="8"/>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row>
    <row r="265" spans="1:27" ht="13.2">
      <c r="A265" s="25"/>
      <c r="B265" s="8"/>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row>
    <row r="266" spans="1:27" ht="13.2">
      <c r="A266" s="25"/>
      <c r="B266" s="8"/>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row>
    <row r="267" spans="1:27" ht="13.2">
      <c r="A267" s="25"/>
      <c r="B267" s="8"/>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row>
    <row r="268" spans="1:27" ht="13.2">
      <c r="A268" s="25"/>
      <c r="B268" s="8"/>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row>
    <row r="269" spans="1:27" ht="13.2">
      <c r="A269" s="25"/>
      <c r="B269" s="8"/>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row>
    <row r="270" spans="1:27" ht="13.2">
      <c r="A270" s="25"/>
      <c r="B270" s="8"/>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row>
    <row r="271" spans="1:27" ht="13.2">
      <c r="A271" s="25"/>
      <c r="B271" s="8"/>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row>
    <row r="272" spans="1:27" ht="13.2">
      <c r="A272" s="25"/>
      <c r="B272" s="8"/>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row>
    <row r="273" spans="1:27" ht="13.2">
      <c r="A273" s="25"/>
      <c r="B273" s="8"/>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row>
    <row r="274" spans="1:27" ht="13.2">
      <c r="A274" s="25"/>
      <c r="B274" s="8"/>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row>
    <row r="275" spans="1:27" ht="13.2">
      <c r="A275" s="25"/>
      <c r="B275" s="8"/>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row>
    <row r="276" spans="1:27" ht="13.2">
      <c r="A276" s="25"/>
      <c r="B276" s="8"/>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row>
    <row r="277" spans="1:27" ht="13.2">
      <c r="A277" s="25"/>
      <c r="B277" s="8"/>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row>
    <row r="278" spans="1:27" ht="13.2">
      <c r="A278" s="25"/>
      <c r="B278" s="8"/>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row>
    <row r="279" spans="1:27" ht="13.2">
      <c r="A279" s="25"/>
      <c r="B279" s="8"/>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row>
    <row r="280" spans="1:27" ht="13.2">
      <c r="A280" s="25"/>
      <c r="B280" s="8"/>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row>
    <row r="281" spans="1:27" ht="13.2">
      <c r="A281" s="25"/>
      <c r="B281" s="8"/>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row>
    <row r="282" spans="1:27" ht="13.2">
      <c r="A282" s="25"/>
      <c r="B282" s="8"/>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row>
    <row r="283" spans="1:27" ht="13.2">
      <c r="A283" s="25"/>
      <c r="B283" s="8"/>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row>
    <row r="284" spans="1:27" ht="13.2">
      <c r="A284" s="25"/>
      <c r="B284" s="8"/>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row>
    <row r="285" spans="1:27" ht="13.2">
      <c r="A285" s="25"/>
      <c r="B285" s="8"/>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row>
    <row r="286" spans="1:27" ht="13.2">
      <c r="A286" s="25"/>
      <c r="B286" s="8"/>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row>
    <row r="287" spans="1:27" ht="13.2">
      <c r="A287" s="25"/>
      <c r="B287" s="8"/>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row>
    <row r="288" spans="1:27" ht="13.2">
      <c r="A288" s="25"/>
      <c r="B288" s="8"/>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row>
    <row r="289" spans="1:27" ht="13.2">
      <c r="A289" s="25"/>
      <c r="B289" s="8"/>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0" spans="1:27" ht="13.2">
      <c r="A290" s="25"/>
      <c r="B290" s="8"/>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row>
    <row r="291" spans="1:27" ht="13.2">
      <c r="A291" s="25"/>
      <c r="B291" s="8"/>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row>
    <row r="292" spans="1:27" ht="13.2">
      <c r="A292" s="25"/>
      <c r="B292" s="8"/>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row>
    <row r="293" spans="1:27" ht="13.2">
      <c r="A293" s="25"/>
      <c r="B293" s="8"/>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row>
    <row r="294" spans="1:27" ht="13.2">
      <c r="A294" s="25"/>
      <c r="B294" s="8"/>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row>
    <row r="295" spans="1:27" ht="13.2">
      <c r="A295" s="25"/>
      <c r="B295" s="8"/>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row>
    <row r="296" spans="1:27" ht="13.2">
      <c r="A296" s="25"/>
      <c r="B296" s="8"/>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row>
    <row r="297" spans="1:27" ht="13.2">
      <c r="A297" s="25"/>
      <c r="B297" s="8"/>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row r="298" spans="1:27" ht="13.2">
      <c r="A298" s="25"/>
      <c r="B298" s="8"/>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row>
    <row r="299" spans="1:27" ht="13.2">
      <c r="A299" s="25"/>
      <c r="B299" s="8"/>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row>
    <row r="300" spans="1:27" ht="13.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row>
    <row r="301" spans="1:27" ht="13.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row>
    <row r="302" spans="1:27" ht="13.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row>
    <row r="303" spans="1:27" ht="13.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row>
    <row r="304" spans="1:27" ht="13.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5" spans="1:27" ht="13.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row>
    <row r="306" spans="1:27" ht="13.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row>
    <row r="307" spans="1:27" ht="13.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row>
    <row r="308" spans="1:27" ht="13.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row r="309" spans="1:27" ht="13.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row>
    <row r="310" spans="1:27" ht="13.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row>
    <row r="311" spans="1:27" ht="13.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row>
    <row r="312" spans="1:27" ht="13.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row>
    <row r="313" spans="1:27" ht="13.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row>
    <row r="314" spans="1:27" ht="13.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row>
    <row r="315" spans="1:27" ht="13.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row>
    <row r="316" spans="1:27" ht="13.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row>
    <row r="317" spans="1:27" ht="13.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row>
    <row r="318" spans="1:27" ht="13.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row>
    <row r="319" spans="1:27" ht="13.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row>
    <row r="320" spans="1:27" ht="13.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row>
    <row r="321" spans="1:27" ht="13.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row>
    <row r="322" spans="1:27" ht="13.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row>
    <row r="323" spans="1:27" ht="13.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row>
    <row r="324" spans="1:27" ht="13.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row>
    <row r="325" spans="1:27" ht="13.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row>
    <row r="326" spans="1:27" ht="13.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row>
    <row r="327" spans="1:27" ht="13.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row>
    <row r="328" spans="1:27" ht="13.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row>
    <row r="329" spans="1:27" ht="13.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row>
    <row r="330" spans="1:27" ht="13.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row>
    <row r="331" spans="1:27" ht="13.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row>
    <row r="332" spans="1:27" ht="13.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row>
    <row r="333" spans="1:27" ht="13.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row>
    <row r="334" spans="1:27" ht="13.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row>
    <row r="335" spans="1:27" ht="13.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row>
    <row r="336" spans="1:27" ht="13.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row>
    <row r="337" spans="1:27" ht="13.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row>
    <row r="338" spans="1:27" ht="13.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row>
    <row r="339" spans="1:27" ht="13.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row>
    <row r="340" spans="1:27" ht="13.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row>
    <row r="341" spans="1:27" ht="13.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row>
    <row r="342" spans="1:27" ht="13.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row>
    <row r="343" spans="1:27" ht="13.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row>
    <row r="344" spans="1:27" ht="13.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row>
    <row r="345" spans="1:27" ht="13.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row>
    <row r="346" spans="1:27" ht="13.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row>
    <row r="347" spans="1:27" ht="13.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row>
    <row r="348" spans="1:27" ht="13.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row>
    <row r="349" spans="1:27" ht="13.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row>
    <row r="350" spans="1:27" ht="13.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row>
    <row r="351" spans="1:27" ht="13.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row>
    <row r="352" spans="1:27" ht="13.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row>
    <row r="353" spans="1:27" ht="13.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row>
    <row r="354" spans="1:27" ht="13.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row>
    <row r="355" spans="1:27" ht="13.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row>
    <row r="356" spans="1:27" ht="13.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row>
    <row r="357" spans="1:27" ht="13.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row>
    <row r="358" spans="1:27" ht="13.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row>
    <row r="359" spans="1:27" ht="13.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row>
    <row r="360" spans="1:27" ht="13.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row>
    <row r="361" spans="1:27" ht="13.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row>
    <row r="362" spans="1:27" ht="13.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row>
    <row r="363" spans="1:27" ht="13.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row>
    <row r="364" spans="1:27" ht="13.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row>
    <row r="365" spans="1:27" ht="13.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row>
    <row r="366" spans="1:27" ht="13.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row>
    <row r="367" spans="1:27" ht="13.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row>
    <row r="368" spans="1:27" ht="13.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row>
    <row r="369" spans="1:27" ht="13.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row>
    <row r="370" spans="1:27" ht="13.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row>
    <row r="371" spans="1:27" ht="13.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row>
    <row r="372" spans="1:27" ht="13.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row>
    <row r="373" spans="1:27" ht="13.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row>
    <row r="374" spans="1:27" ht="13.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row>
    <row r="375" spans="1:27" ht="13.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row>
    <row r="376" spans="1:27" ht="13.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row>
    <row r="377" spans="1:27" ht="13.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row>
    <row r="378" spans="1:27" ht="13.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row>
    <row r="379" spans="1:27" ht="13.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row>
    <row r="380" spans="1:27" ht="13.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row>
    <row r="381" spans="1:27" ht="13.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row>
    <row r="382" spans="1:27" ht="13.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row>
    <row r="383" spans="1:27" ht="13.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row>
    <row r="384" spans="1:27" ht="13.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row>
    <row r="385" spans="1:27" ht="13.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row>
    <row r="386" spans="1:27" ht="13.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row>
    <row r="387" spans="1:27" ht="13.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row>
    <row r="388" spans="1:27" ht="13.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row>
    <row r="389" spans="1:27" ht="13.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row>
    <row r="390" spans="1:27" ht="13.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row>
    <row r="391" spans="1:27" ht="13.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row>
    <row r="392" spans="1:27" ht="13.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row>
    <row r="393" spans="1:27" ht="13.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row>
    <row r="394" spans="1:27" ht="13.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row>
    <row r="395" spans="1:27" ht="13.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row>
    <row r="396" spans="1:27" ht="13.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row>
    <row r="397" spans="1:27" ht="13.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row>
    <row r="398" spans="1:27" ht="13.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row>
    <row r="399" spans="1:27" ht="13.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row>
    <row r="400" spans="1:27" ht="13.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row>
    <row r="401" spans="1:27" ht="13.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row>
    <row r="402" spans="1:27" ht="13.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row>
    <row r="403" spans="1:27" ht="13.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row>
    <row r="404" spans="1:27" ht="13.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row>
    <row r="405" spans="1:27" ht="13.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row>
    <row r="406" spans="1:27" ht="13.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row>
    <row r="407" spans="1:27" ht="13.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row>
    <row r="408" spans="1:27" ht="13.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row>
    <row r="409" spans="1:27" ht="13.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row>
    <row r="410" spans="1:27" ht="13.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row>
    <row r="411" spans="1:27" ht="13.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row>
    <row r="412" spans="1:27" ht="13.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row>
    <row r="413" spans="1:27" ht="13.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row>
    <row r="414" spans="1:27" ht="13.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row>
    <row r="415" spans="1:27" ht="13.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row>
    <row r="416" spans="1:27" ht="13.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row>
    <row r="417" spans="1:27" ht="13.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row>
    <row r="418" spans="1:27" ht="13.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row>
    <row r="419" spans="1:27" ht="13.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row>
    <row r="420" spans="1:27" ht="13.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row>
    <row r="421" spans="1:27" ht="13.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row>
    <row r="422" spans="1:27" ht="13.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row>
    <row r="423" spans="1:27" ht="13.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row>
    <row r="424" spans="1:27" ht="13.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row>
    <row r="425" spans="1:27" ht="13.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row>
    <row r="426" spans="1:27" ht="13.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row>
    <row r="427" spans="1:27" ht="13.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row>
    <row r="428" spans="1:27" ht="13.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row>
    <row r="429" spans="1:27" ht="13.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row>
    <row r="430" spans="1:27" ht="13.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row>
    <row r="431" spans="1:27" ht="13.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row>
    <row r="432" spans="1:27" ht="13.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row>
    <row r="433" spans="1:27" ht="13.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row>
    <row r="434" spans="1:27" ht="13.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row>
    <row r="435" spans="1:27" ht="13.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row>
    <row r="436" spans="1:27" ht="13.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row>
    <row r="437" spans="1:27" ht="13.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row>
    <row r="438" spans="1:27" ht="13.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row>
    <row r="439" spans="1:27" ht="13.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row>
    <row r="440" spans="1:27" ht="13.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row>
    <row r="441" spans="1:27" ht="13.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row>
    <row r="442" spans="1:27" ht="13.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row>
    <row r="443" spans="1:27" ht="13.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row>
    <row r="444" spans="1:27" ht="13.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row>
    <row r="445" spans="1:27" ht="13.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row>
    <row r="446" spans="1:27" ht="13.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row>
    <row r="447" spans="1:27" ht="13.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row>
    <row r="448" spans="1:27" ht="13.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row>
    <row r="449" spans="1:27" ht="13.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row>
    <row r="450" spans="1:27" ht="13.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row>
    <row r="451" spans="1:27" ht="13.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row>
    <row r="452" spans="1:27" ht="13.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row>
    <row r="453" spans="1:27" ht="13.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row>
    <row r="454" spans="1:27" ht="13.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row>
    <row r="455" spans="1:27" ht="13.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row>
    <row r="456" spans="1:27" ht="13.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row>
    <row r="457" spans="1:27" ht="13.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row>
    <row r="458" spans="1:27" ht="13.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row>
    <row r="459" spans="1:27" ht="13.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row>
    <row r="460" spans="1:27" ht="13.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row>
    <row r="461" spans="1:27" ht="13.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row>
    <row r="462" spans="1:27" ht="13.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row>
    <row r="463" spans="1:27" ht="13.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row>
    <row r="464" spans="1:27" ht="13.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row>
    <row r="465" spans="1:27" ht="13.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row>
    <row r="466" spans="1:27" ht="13.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row>
    <row r="467" spans="1:27" ht="13.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row>
    <row r="468" spans="1:27" ht="13.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row>
    <row r="469" spans="1:27" ht="13.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row>
    <row r="470" spans="1:27" ht="13.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row>
    <row r="471" spans="1:27" ht="13.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row>
    <row r="472" spans="1:27" ht="13.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row>
    <row r="473" spans="1:27" ht="13.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row>
    <row r="474" spans="1:27" ht="13.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row>
    <row r="475" spans="1:27" ht="13.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row>
    <row r="476" spans="1:27" ht="13.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row>
    <row r="477" spans="1:27" ht="13.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row>
    <row r="478" spans="1:27" ht="13.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row>
    <row r="479" spans="1:27" ht="13.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row>
    <row r="480" spans="1:27" ht="13.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row>
    <row r="481" spans="1:27" ht="13.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row>
    <row r="482" spans="1:27" ht="13.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row>
    <row r="483" spans="1:27" ht="13.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row>
    <row r="484" spans="1:27" ht="13.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row>
    <row r="485" spans="1:27" ht="13.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row>
    <row r="486" spans="1:27" ht="13.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row>
    <row r="487" spans="1:27" ht="13.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row>
    <row r="488" spans="1:27" ht="13.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row>
    <row r="489" spans="1:27" ht="13.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row>
    <row r="490" spans="1:27" ht="13.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row>
    <row r="491" spans="1:27" ht="13.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row>
    <row r="492" spans="1:27" ht="13.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row>
    <row r="493" spans="1:27" ht="13.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row>
    <row r="494" spans="1:27" ht="13.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row>
    <row r="495" spans="1:27" ht="13.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row>
    <row r="496" spans="1:27" ht="13.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row>
    <row r="497" spans="1:27" ht="13.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row>
    <row r="498" spans="1:27" ht="13.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row>
    <row r="499" spans="1:27" ht="13.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row>
    <row r="500" spans="1:27" ht="13.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row>
    <row r="501" spans="1:27" ht="13.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row>
    <row r="502" spans="1:27" ht="13.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row>
    <row r="503" spans="1:27" ht="13.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row>
    <row r="504" spans="1:27" ht="13.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row>
    <row r="505" spans="1:27" ht="13.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row>
    <row r="506" spans="1:27" ht="13.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row>
    <row r="507" spans="1:27" ht="13.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row>
    <row r="508" spans="1:27" ht="13.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row>
    <row r="509" spans="1:27" ht="13.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row>
    <row r="510" spans="1:27" ht="13.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row>
    <row r="511" spans="1:27" ht="13.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row>
    <row r="512" spans="1:27" ht="13.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row>
    <row r="513" spans="1:27" ht="13.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row>
    <row r="514" spans="1:27" ht="13.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row>
    <row r="515" spans="1:27" ht="13.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row>
    <row r="516" spans="1:27" ht="13.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row>
    <row r="517" spans="1:27" ht="13.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row>
    <row r="518" spans="1:27" ht="13.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row>
    <row r="519" spans="1:27" ht="13.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row>
    <row r="520" spans="1:27" ht="13.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row>
    <row r="521" spans="1:27" ht="13.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row>
    <row r="522" spans="1:27" ht="13.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row>
    <row r="523" spans="1:27" ht="13.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row>
    <row r="524" spans="1:27" ht="13.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row>
    <row r="525" spans="1:27" ht="13.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row>
    <row r="526" spans="1:27" ht="13.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row>
    <row r="527" spans="1:27" ht="13.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row>
    <row r="528" spans="1:27" ht="13.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row>
    <row r="529" spans="1:27" ht="13.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row>
    <row r="530" spans="1:27" ht="13.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row>
    <row r="531" spans="1:27" ht="13.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row>
    <row r="532" spans="1:27" ht="13.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row>
    <row r="533" spans="1:27" ht="13.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row>
    <row r="534" spans="1:27" ht="13.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row>
    <row r="535" spans="1:27" ht="13.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row>
    <row r="536" spans="1:27" ht="13.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row>
    <row r="537" spans="1:27" ht="13.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row>
    <row r="538" spans="1:27" ht="13.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row>
    <row r="539" spans="1:27" ht="13.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row>
    <row r="540" spans="1:27" ht="13.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row>
    <row r="541" spans="1:27" ht="13.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row>
    <row r="542" spans="1:27" ht="13.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row>
    <row r="543" spans="1:27" ht="13.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row>
    <row r="544" spans="1:27" ht="13.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row>
    <row r="545" spans="1:27" ht="13.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row>
    <row r="546" spans="1:27" ht="13.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row>
    <row r="547" spans="1:27" ht="13.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row>
    <row r="548" spans="1:27" ht="13.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row>
    <row r="549" spans="1:27" ht="13.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row>
    <row r="550" spans="1:27" ht="13.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row>
    <row r="551" spans="1:27" ht="13.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row>
    <row r="552" spans="1:27" ht="13.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row>
    <row r="553" spans="1:27" ht="13.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row>
    <row r="554" spans="1:27" ht="13.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row>
    <row r="555" spans="1:27" ht="13.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row>
    <row r="556" spans="1:27" ht="13.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row>
    <row r="557" spans="1:27" ht="13.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row>
    <row r="558" spans="1:27" ht="13.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row>
    <row r="559" spans="1:27" ht="13.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row>
    <row r="560" spans="1:27" ht="13.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row>
    <row r="561" spans="1:27" ht="13.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row>
    <row r="562" spans="1:27" ht="13.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row>
    <row r="563" spans="1:27" ht="13.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row>
    <row r="564" spans="1:27" ht="13.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row>
    <row r="565" spans="1:27" ht="13.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row>
    <row r="566" spans="1:27" ht="13.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row>
    <row r="567" spans="1:27" ht="13.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row>
    <row r="568" spans="1:27" ht="13.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row>
    <row r="569" spans="1:27" ht="13.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row>
    <row r="570" spans="1:27" ht="13.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row>
    <row r="571" spans="1:27" ht="13.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row>
    <row r="572" spans="1:27" ht="13.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row>
    <row r="573" spans="1:27" ht="13.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row>
    <row r="574" spans="1:27" ht="13.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row>
    <row r="575" spans="1:27" ht="13.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row>
    <row r="576" spans="1:27" ht="13.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row>
    <row r="577" spans="1:27" ht="13.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row>
    <row r="578" spans="1:27" ht="13.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row>
    <row r="579" spans="1:27" ht="13.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row>
    <row r="580" spans="1:27" ht="13.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row>
    <row r="581" spans="1:27" ht="13.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row>
    <row r="582" spans="1:27" ht="13.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row>
    <row r="583" spans="1:27" ht="13.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row>
    <row r="584" spans="1:27" ht="13.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row>
    <row r="585" spans="1:27" ht="13.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row>
    <row r="586" spans="1:27" ht="13.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row>
    <row r="587" spans="1:27" ht="13.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row>
    <row r="588" spans="1:27" ht="13.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row>
    <row r="589" spans="1:27" ht="13.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row>
    <row r="590" spans="1:27" ht="13.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row>
    <row r="591" spans="1:27" ht="13.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row>
    <row r="592" spans="1:27" ht="13.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row>
    <row r="593" spans="1:27" ht="13.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row>
    <row r="594" spans="1:27" ht="13.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row>
    <row r="595" spans="1:27" ht="13.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row>
    <row r="596" spans="1:27" ht="13.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row>
    <row r="597" spans="1:27" ht="13.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row>
    <row r="598" spans="1:27" ht="13.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row>
    <row r="599" spans="1:27" ht="13.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row>
    <row r="600" spans="1:27" ht="13.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row>
    <row r="601" spans="1:27" ht="13.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row>
    <row r="602" spans="1:27" ht="13.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row>
    <row r="603" spans="1:27" ht="13.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row>
    <row r="604" spans="1:27" ht="13.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row>
    <row r="605" spans="1:27" ht="13.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row>
    <row r="606" spans="1:27" ht="13.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row>
    <row r="607" spans="1:27" ht="13.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row>
    <row r="608" spans="1:27" ht="13.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row>
    <row r="609" spans="1:27" ht="13.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row>
    <row r="610" spans="1:27" ht="13.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row>
    <row r="611" spans="1:27" ht="13.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row>
    <row r="612" spans="1:27" ht="13.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row>
    <row r="613" spans="1:27" ht="13.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row>
    <row r="614" spans="1:27" ht="13.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row>
    <row r="615" spans="1:27" ht="13.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row>
    <row r="616" spans="1:27" ht="13.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row>
    <row r="617" spans="1:27" ht="13.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row>
    <row r="618" spans="1:27" ht="13.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row>
    <row r="619" spans="1:27" ht="13.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row>
    <row r="620" spans="1:27" ht="13.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row>
    <row r="621" spans="1:27" ht="13.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row>
    <row r="622" spans="1:27" ht="13.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row>
    <row r="623" spans="1:27" ht="13.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row>
    <row r="624" spans="1:27" ht="13.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row>
    <row r="625" spans="1:27" ht="13.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row>
    <row r="626" spans="1:27" ht="13.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row>
    <row r="627" spans="1:27" ht="13.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row>
    <row r="628" spans="1:27" ht="13.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row>
    <row r="629" spans="1:27" ht="13.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row>
    <row r="630" spans="1:27" ht="13.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row>
    <row r="631" spans="1:27" ht="13.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row>
    <row r="632" spans="1:27" ht="13.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row>
    <row r="633" spans="1:27" ht="13.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row>
    <row r="634" spans="1:27" ht="13.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row>
    <row r="635" spans="1:27" ht="13.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row>
    <row r="636" spans="1:27" ht="13.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row>
    <row r="637" spans="1:27" ht="13.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row>
    <row r="638" spans="1:27" ht="13.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row>
    <row r="639" spans="1:27" ht="13.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row>
    <row r="640" spans="1:27" ht="13.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row>
    <row r="641" spans="1:27" ht="13.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row>
    <row r="642" spans="1:27" ht="13.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row>
    <row r="643" spans="1:27" ht="13.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row>
    <row r="644" spans="1:27" ht="13.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row>
    <row r="645" spans="1:27" ht="13.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row>
    <row r="646" spans="1:27" ht="13.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row>
    <row r="647" spans="1:27" ht="13.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row>
    <row r="648" spans="1:27" ht="13.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row>
    <row r="649" spans="1:27" ht="13.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row>
    <row r="650" spans="1:27" ht="13.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row>
    <row r="651" spans="1:27" ht="13.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row>
    <row r="652" spans="1:27" ht="13.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row>
    <row r="653" spans="1:27" ht="13.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row>
    <row r="654" spans="1:27" ht="13.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row>
    <row r="655" spans="1:27" ht="13.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row>
    <row r="656" spans="1:27" ht="13.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row>
    <row r="657" spans="1:27" ht="13.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row>
    <row r="658" spans="1:27" ht="13.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row>
    <row r="659" spans="1:27" ht="13.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row>
    <row r="660" spans="1:27" ht="13.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row>
    <row r="661" spans="1:27" ht="13.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row>
    <row r="662" spans="1:27" ht="13.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row>
    <row r="663" spans="1:27" ht="13.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row>
    <row r="664" spans="1:27" ht="13.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row>
    <row r="665" spans="1:27" ht="13.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row>
    <row r="666" spans="1:27" ht="13.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row>
    <row r="667" spans="1:27" ht="13.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row>
    <row r="668" spans="1:27" ht="13.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row>
    <row r="669" spans="1:27" ht="13.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row>
    <row r="670" spans="1:27" ht="13.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row>
    <row r="671" spans="1:27" ht="13.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row>
    <row r="672" spans="1:27" ht="13.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row>
    <row r="673" spans="1:27" ht="13.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row>
    <row r="674" spans="1:27" ht="13.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row>
    <row r="675" spans="1:27" ht="13.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row>
    <row r="676" spans="1:27" ht="13.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row>
    <row r="677" spans="1:27" ht="13.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row>
    <row r="678" spans="1:27" ht="13.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row>
    <row r="679" spans="1:27" ht="13.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row>
    <row r="680" spans="1:27" ht="13.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row>
    <row r="681" spans="1:27" ht="13.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row>
    <row r="682" spans="1:27" ht="13.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row>
    <row r="683" spans="1:27" ht="13.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row>
    <row r="684" spans="1:27" ht="13.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row>
    <row r="685" spans="1:27" ht="13.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row>
    <row r="686" spans="1:27" ht="13.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row>
    <row r="687" spans="1:27" ht="13.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row>
    <row r="688" spans="1:27" ht="13.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row>
    <row r="689" spans="1:27" ht="13.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row>
    <row r="690" spans="1:27" ht="13.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row>
    <row r="691" spans="1:27" ht="13.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row>
    <row r="692" spans="1:27" ht="13.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row>
    <row r="693" spans="1:27" ht="13.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row>
    <row r="694" spans="1:27" ht="13.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row>
    <row r="695" spans="1:27" ht="13.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row>
    <row r="696" spans="1:27" ht="13.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row>
    <row r="697" spans="1:27" ht="13.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row>
    <row r="698" spans="1:27" ht="13.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row>
    <row r="699" spans="1:27" ht="13.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row>
    <row r="700" spans="1:27" ht="13.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row>
    <row r="701" spans="1:27" ht="13.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row>
    <row r="702" spans="1:27" ht="13.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row>
    <row r="703" spans="1:27" ht="13.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row>
    <row r="704" spans="1:27" ht="13.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row>
    <row r="705" spans="1:27" ht="13.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row>
    <row r="706" spans="1:27" ht="13.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row>
    <row r="707" spans="1:27" ht="13.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row>
    <row r="708" spans="1:27" ht="13.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row>
    <row r="709" spans="1:27" ht="13.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row>
    <row r="710" spans="1:27" ht="13.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row>
    <row r="711" spans="1:27" ht="13.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row>
    <row r="712" spans="1:27" ht="13.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row>
    <row r="713" spans="1:27" ht="13.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row>
    <row r="714" spans="1:27" ht="13.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row>
    <row r="715" spans="1:27" ht="13.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row>
    <row r="716" spans="1:27" ht="13.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row>
    <row r="717" spans="1:27" ht="13.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row>
    <row r="718" spans="1:27" ht="13.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row>
    <row r="719" spans="1:27" ht="13.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row>
    <row r="720" spans="1:27" ht="13.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row>
    <row r="721" spans="1:27" ht="13.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row>
    <row r="722" spans="1:27" ht="13.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row>
    <row r="723" spans="1:27" ht="13.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row>
    <row r="724" spans="1:27" ht="13.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row>
    <row r="725" spans="1:27" ht="13.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row>
    <row r="726" spans="1:27" ht="13.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row>
    <row r="727" spans="1:27" ht="13.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row>
    <row r="728" spans="1:27" ht="13.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row>
    <row r="729" spans="1:27" ht="13.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row>
    <row r="730" spans="1:27" ht="13.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row>
    <row r="731" spans="1:27" ht="13.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row>
    <row r="732" spans="1:27" ht="13.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row>
    <row r="733" spans="1:27" ht="13.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row>
    <row r="734" spans="1:27" ht="13.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row>
    <row r="735" spans="1:27" ht="13.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row>
    <row r="736" spans="1:27" ht="13.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row>
    <row r="737" spans="1:27" ht="13.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row>
    <row r="738" spans="1:27" ht="13.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row>
    <row r="739" spans="1:27" ht="13.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row>
    <row r="740" spans="1:27" ht="13.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row>
    <row r="741" spans="1:27" ht="13.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row>
    <row r="742" spans="1:27" ht="13.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row>
    <row r="743" spans="1:27" ht="13.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row>
    <row r="744" spans="1:27" ht="13.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row>
    <row r="745" spans="1:27" ht="13.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row>
    <row r="746" spans="1:27" ht="13.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row>
    <row r="747" spans="1:27" ht="13.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row>
    <row r="748" spans="1:27" ht="13.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row>
    <row r="749" spans="1:27" ht="13.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row>
    <row r="750" spans="1:27" ht="13.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row>
    <row r="751" spans="1:27" ht="13.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row>
    <row r="752" spans="1:27" ht="13.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row>
    <row r="753" spans="1:27" ht="13.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row>
    <row r="754" spans="1:27" ht="13.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row>
    <row r="755" spans="1:27" ht="13.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row>
    <row r="756" spans="1:27" ht="13.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row>
    <row r="757" spans="1:27" ht="13.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row>
    <row r="758" spans="1:27" ht="13.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row>
    <row r="759" spans="1:27" ht="13.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row>
    <row r="760" spans="1:27" ht="13.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row>
    <row r="761" spans="1:27" ht="13.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row>
    <row r="762" spans="1:27" ht="13.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row>
    <row r="763" spans="1:27" ht="13.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row>
    <row r="764" spans="1:27" ht="13.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row>
    <row r="765" spans="1:27" ht="13.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row>
    <row r="766" spans="1:27" ht="13.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row>
    <row r="767" spans="1:27" ht="13.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row>
    <row r="768" spans="1:27" ht="13.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row>
    <row r="769" spans="1:27" ht="13.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row>
    <row r="770" spans="1:27" ht="13.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row>
    <row r="771" spans="1:27" ht="13.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row>
    <row r="772" spans="1:27" ht="13.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row>
    <row r="773" spans="1:27" ht="13.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row>
    <row r="774" spans="1:27" ht="13.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row>
    <row r="775" spans="1:27" ht="13.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row>
    <row r="776" spans="1:27" ht="13.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row>
    <row r="777" spans="1:27" ht="13.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row>
    <row r="778" spans="1:27" ht="13.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row>
    <row r="779" spans="1:27" ht="13.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row>
    <row r="780" spans="1:27" ht="13.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row>
    <row r="781" spans="1:27" ht="13.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row>
    <row r="782" spans="1:27" ht="13.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row>
    <row r="783" spans="1:27" ht="13.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row>
    <row r="784" spans="1:27" ht="13.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row>
    <row r="785" spans="1:27" ht="13.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row>
    <row r="786" spans="1:27" ht="13.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row>
    <row r="787" spans="1:27" ht="13.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row>
    <row r="788" spans="1:27" ht="13.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row>
    <row r="789" spans="1:27" ht="13.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row>
    <row r="790" spans="1:27" ht="13.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row>
    <row r="791" spans="1:27" ht="13.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row>
    <row r="792" spans="1:27" ht="13.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row>
    <row r="793" spans="1:27" ht="13.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row>
    <row r="794" spans="1:27" ht="13.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row>
    <row r="795" spans="1:27" ht="13.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row>
    <row r="796" spans="1:27" ht="13.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row>
    <row r="797" spans="1:27" ht="13.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row>
    <row r="798" spans="1:27" ht="13.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row>
    <row r="799" spans="1:27" ht="13.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row>
    <row r="800" spans="1:27" ht="13.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row>
    <row r="801" spans="1:27" ht="13.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row>
    <row r="802" spans="1:27" ht="13.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row>
    <row r="803" spans="1:27" ht="13.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row>
    <row r="804" spans="1:27" ht="13.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row>
    <row r="805" spans="1:27" ht="13.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row>
    <row r="806" spans="1:27" ht="13.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row>
    <row r="807" spans="1:27" ht="13.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row>
    <row r="808" spans="1:27" ht="13.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row>
    <row r="809" spans="1:27" ht="13.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row>
    <row r="810" spans="1:27" ht="13.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row>
    <row r="811" spans="1:27" ht="13.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row>
    <row r="812" spans="1:27" ht="13.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row>
    <row r="813" spans="1:27" ht="13.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row>
    <row r="814" spans="1:27" ht="13.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row>
    <row r="815" spans="1:27" ht="13.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row>
    <row r="816" spans="1:27" ht="13.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row>
    <row r="817" spans="1:27" ht="13.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row>
    <row r="818" spans="1:27" ht="13.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row>
    <row r="819" spans="1:27" ht="13.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row>
    <row r="820" spans="1:27" ht="13.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row>
    <row r="821" spans="1:27" ht="13.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row>
    <row r="822" spans="1:27" ht="13.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row>
    <row r="823" spans="1:27" ht="13.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row>
    <row r="824" spans="1:27" ht="13.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row>
    <row r="825" spans="1:27" ht="13.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row>
    <row r="826" spans="1:27" ht="13.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row>
    <row r="827" spans="1:27" ht="13.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row>
    <row r="828" spans="1:27" ht="13.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row>
    <row r="829" spans="1:27" ht="13.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row>
    <row r="830" spans="1:27" ht="13.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row>
    <row r="831" spans="1:27" ht="13.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row>
    <row r="832" spans="1:27" ht="13.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row>
    <row r="833" spans="1:27" ht="13.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row>
    <row r="834" spans="1:27" ht="13.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row>
    <row r="835" spans="1:27" ht="13.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row>
    <row r="836" spans="1:27" ht="13.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row>
    <row r="837" spans="1:27" ht="13.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row>
    <row r="838" spans="1:27" ht="13.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row>
    <row r="839" spans="1:27" ht="13.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row>
    <row r="840" spans="1:27" ht="13.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row>
    <row r="841" spans="1:27" ht="13.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row>
    <row r="842" spans="1:27" ht="13.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row>
    <row r="843" spans="1:27" ht="13.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row>
    <row r="844" spans="1:27" ht="13.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row>
    <row r="845" spans="1:27" ht="13.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row>
    <row r="846" spans="1:27" ht="13.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row>
    <row r="847" spans="1:27" ht="13.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row>
    <row r="848" spans="1:27" ht="13.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row>
    <row r="849" spans="1:27" ht="13.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row>
    <row r="850" spans="1:27" ht="13.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row>
    <row r="851" spans="1:27" ht="13.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row>
    <row r="852" spans="1:27" ht="13.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row>
    <row r="853" spans="1:27" ht="13.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row>
    <row r="854" spans="1:27" ht="13.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row>
    <row r="855" spans="1:27" ht="13.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row>
    <row r="856" spans="1:27" ht="13.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row>
    <row r="857" spans="1:27" ht="13.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row>
    <row r="858" spans="1:27" ht="13.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row>
    <row r="859" spans="1:27" ht="13.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row>
    <row r="860" spans="1:27" ht="13.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row>
    <row r="861" spans="1:27" ht="13.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row>
    <row r="862" spans="1:27" ht="13.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row>
    <row r="863" spans="1:27" ht="13.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row>
    <row r="864" spans="1:27" ht="13.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row>
    <row r="865" spans="1:27" ht="13.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row>
    <row r="866" spans="1:27" ht="13.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row>
    <row r="867" spans="1:27" ht="13.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row>
    <row r="868" spans="1:27" ht="13.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row>
    <row r="869" spans="1:27" ht="13.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row>
    <row r="870" spans="1:27" ht="13.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row>
    <row r="871" spans="1:27" ht="13.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row>
    <row r="872" spans="1:27" ht="13.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row>
    <row r="873" spans="1:27" ht="13.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row>
    <row r="874" spans="1:27" ht="13.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row>
    <row r="875" spans="1:27" ht="13.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row>
    <row r="876" spans="1:27" ht="13.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row>
    <row r="877" spans="1:27" ht="13.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row>
    <row r="878" spans="1:27" ht="13.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row>
    <row r="879" spans="1:27" ht="13.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row>
    <row r="880" spans="1:27" ht="13.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row>
    <row r="881" spans="1:27" ht="13.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row>
    <row r="882" spans="1:27" ht="13.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row>
    <row r="883" spans="1:27" ht="13.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row>
    <row r="884" spans="1:27" ht="13.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row>
    <row r="885" spans="1:27" ht="13.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row>
    <row r="886" spans="1:27" ht="13.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row>
    <row r="887" spans="1:27" ht="13.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row>
    <row r="888" spans="1:27" ht="13.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row>
    <row r="889" spans="1:27" ht="13.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row>
    <row r="890" spans="1:27" ht="13.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row>
    <row r="891" spans="1:27" ht="13.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row>
    <row r="892" spans="1:27" ht="13.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row>
    <row r="893" spans="1:27" ht="13.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row>
    <row r="894" spans="1:27" ht="13.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row>
    <row r="895" spans="1:27" ht="13.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row>
    <row r="896" spans="1:27" ht="13.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row>
    <row r="897" spans="1:27" ht="13.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row>
    <row r="898" spans="1:27" ht="13.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row>
    <row r="899" spans="1:27" ht="13.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row>
    <row r="900" spans="1:27" ht="13.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row>
    <row r="901" spans="1:27" ht="13.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row>
    <row r="902" spans="1:27" ht="13.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row>
    <row r="903" spans="1:27" ht="13.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row>
    <row r="904" spans="1:27" ht="13.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row>
    <row r="905" spans="1:27" ht="13.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row>
    <row r="906" spans="1:27" ht="13.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row>
    <row r="907" spans="1:27" ht="13.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row>
    <row r="908" spans="1:27" ht="13.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row>
    <row r="909" spans="1:27" ht="13.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row>
    <row r="910" spans="1:27" ht="13.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row>
    <row r="911" spans="1:27" ht="13.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row>
    <row r="912" spans="1:27" ht="13.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row>
    <row r="913" spans="1:27" ht="13.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row>
    <row r="914" spans="1:27" ht="13.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row>
    <row r="915" spans="1:27" ht="13.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row>
    <row r="916" spans="1:27" ht="13.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row>
    <row r="917" spans="1:27" ht="13.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row>
    <row r="918" spans="1:27" ht="13.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row>
    <row r="919" spans="1:27" ht="13.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row>
    <row r="920" spans="1:27" ht="13.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row>
    <row r="921" spans="1:27" ht="13.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row>
    <row r="922" spans="1:27" ht="13.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row>
    <row r="923" spans="1:27" ht="13.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row>
    <row r="924" spans="1:27" ht="13.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row>
    <row r="925" spans="1:27" ht="13.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row>
    <row r="926" spans="1:27" ht="13.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row>
    <row r="927" spans="1:27" ht="13.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row>
    <row r="928" spans="1:27" ht="13.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row>
    <row r="929" spans="1:27" ht="13.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row>
    <row r="930" spans="1:27" ht="13.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row>
    <row r="931" spans="1:27" ht="13.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row>
    <row r="932" spans="1:27" ht="13.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row>
    <row r="933" spans="1:27" ht="13.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row>
    <row r="934" spans="1:27" ht="13.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row>
    <row r="935" spans="1:27" ht="13.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row>
    <row r="936" spans="1:27" ht="13.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row>
    <row r="937" spans="1:27" ht="13.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row>
    <row r="938" spans="1:27" ht="13.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row>
    <row r="939" spans="1:27" ht="13.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row>
    <row r="940" spans="1:27" ht="13.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row>
    <row r="941" spans="1:27" ht="13.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row>
    <row r="942" spans="1:27" ht="13.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row>
    <row r="943" spans="1:27" ht="13.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row>
    <row r="944" spans="1:27" ht="13.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row>
    <row r="945" spans="1:27" ht="13.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row>
    <row r="946" spans="1:27" ht="13.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row>
    <row r="947" spans="1:27" ht="13.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row>
    <row r="948" spans="1:27" ht="13.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row>
    <row r="949" spans="1:27" ht="13.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row>
    <row r="950" spans="1:27" ht="13.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row>
    <row r="951" spans="1:27" ht="13.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row>
    <row r="952" spans="1:27" ht="13.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row>
    <row r="953" spans="1:27" ht="13.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row>
    <row r="954" spans="1:27" ht="13.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row>
    <row r="955" spans="1:27" ht="13.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row>
    <row r="956" spans="1:27" ht="13.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row>
    <row r="957" spans="1:27" ht="13.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row>
    <row r="958" spans="1:27" ht="13.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row>
    <row r="959" spans="1:27" ht="13.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row>
    <row r="960" spans="1:27" ht="13.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row>
    <row r="961" spans="1:27" ht="13.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row>
    <row r="962" spans="1:27" ht="13.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row>
    <row r="963" spans="1:27" ht="13.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row>
    <row r="964" spans="1:27" ht="13.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row>
    <row r="965" spans="1:27" ht="13.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row>
    <row r="966" spans="1:27" ht="13.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row>
    <row r="967" spans="1:27" ht="13.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row>
    <row r="968" spans="1:27" ht="13.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row>
    <row r="969" spans="1:27" ht="13.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row>
    <row r="970" spans="1:27" ht="13.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row>
    <row r="971" spans="1:27" ht="13.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row>
    <row r="972" spans="1:27" ht="13.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row>
    <row r="973" spans="1:27" ht="13.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row>
    <row r="974" spans="1:27" ht="13.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row>
    <row r="975" spans="1:27" ht="13.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row>
    <row r="976" spans="1:27" ht="13.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row>
    <row r="977" spans="1:27" ht="13.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row>
    <row r="978" spans="1:27" ht="13.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row>
    <row r="979" spans="1:27" ht="13.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row>
    <row r="980" spans="1:27" ht="13.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row>
    <row r="981" spans="1:27" ht="13.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row>
    <row r="982" spans="1:27" ht="13.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row>
    <row r="983" spans="1:27" ht="13.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row>
    <row r="984" spans="1:27" ht="13.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row>
    <row r="985" spans="1:27" ht="13.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row>
    <row r="986" spans="1:27" ht="13.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row>
    <row r="987" spans="1:27" ht="13.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row>
    <row r="988" spans="1:27" ht="13.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row>
    <row r="989" spans="1:27" ht="13.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row>
    <row r="990" spans="1:27" ht="13.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row>
    <row r="991" spans="1:27" ht="13.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row>
    <row r="992" spans="1:27" ht="13.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row>
    <row r="993" spans="1:27" ht="13.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row>
    <row r="994" spans="1:27" ht="13.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row>
    <row r="995" spans="1:27" ht="13.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row>
    <row r="996" spans="1:27" ht="13.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row>
    <row r="997" spans="1:27" ht="13.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row>
    <row r="998" spans="1:27" ht="13.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row>
    <row r="999" spans="1:27" ht="13.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row>
    <row r="1000" spans="1:27" ht="13.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row>
    <row r="1001" spans="1:27" ht="13.2">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row>
    <row r="1002" spans="1:27" ht="13.2">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c r="AA1002" s="25"/>
    </row>
    <row r="1003" spans="1:27" ht="13.2">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row>
    <row r="1004" spans="1:27" ht="13.2">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c r="AA1004" s="25"/>
    </row>
    <row r="1005" spans="1:27" ht="13.2">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row>
    <row r="1006" spans="1:27" ht="13.2">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c r="Y1006" s="25"/>
      <c r="Z1006" s="25"/>
      <c r="AA1006" s="25"/>
    </row>
    <row r="1007" spans="1:27" ht="13.2">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row>
    <row r="1008" spans="1:27" ht="13.2">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row>
    <row r="1009" spans="1:27" ht="13.2">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row>
    <row r="1010" spans="1:27" ht="13.2">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c r="Y1010" s="25"/>
      <c r="Z1010" s="25"/>
      <c r="AA1010" s="25"/>
    </row>
    <row r="1011" spans="1:27" ht="13.2">
      <c r="A1011" s="25"/>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row>
    <row r="1012" spans="1:27" ht="13.2">
      <c r="A1012" s="25"/>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c r="Y1012" s="25"/>
      <c r="Z1012" s="25"/>
      <c r="AA1012" s="25"/>
    </row>
    <row r="1013" spans="1:27" ht="13.2">
      <c r="A1013" s="25"/>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row>
    <row r="1014" spans="1:27" ht="13.2">
      <c r="A1014" s="25"/>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c r="Y1014" s="25"/>
      <c r="Z1014" s="25"/>
      <c r="AA1014" s="25"/>
    </row>
    <row r="1015" spans="1:27" ht="13.2">
      <c r="A1015" s="25"/>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row>
    <row r="1016" spans="1:27" ht="13.2">
      <c r="A1016" s="25"/>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25"/>
      <c r="Y1016" s="25"/>
      <c r="Z1016" s="25"/>
      <c r="AA1016" s="25"/>
    </row>
    <row r="1017" spans="1:27" ht="13.2">
      <c r="A1017" s="25"/>
      <c r="B1017" s="25"/>
      <c r="C1017" s="25"/>
      <c r="D1017" s="25"/>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row>
    <row r="1018" spans="1:27" ht="13.2">
      <c r="A1018" s="25"/>
      <c r="B1018" s="25"/>
      <c r="C1018" s="25"/>
      <c r="D1018" s="25"/>
      <c r="E1018" s="25"/>
      <c r="F1018" s="25"/>
      <c r="G1018" s="25"/>
      <c r="H1018" s="25"/>
      <c r="I1018" s="25"/>
      <c r="J1018" s="25"/>
      <c r="K1018" s="25"/>
      <c r="L1018" s="25"/>
      <c r="M1018" s="25"/>
      <c r="N1018" s="25"/>
      <c r="O1018" s="25"/>
      <c r="P1018" s="25"/>
      <c r="Q1018" s="25"/>
      <c r="R1018" s="25"/>
      <c r="S1018" s="25"/>
      <c r="T1018" s="25"/>
      <c r="U1018" s="25"/>
      <c r="V1018" s="25"/>
      <c r="W1018" s="25"/>
      <c r="X1018" s="25"/>
      <c r="Y1018" s="25"/>
      <c r="Z1018" s="25"/>
      <c r="AA1018" s="25"/>
    </row>
    <row r="1019" spans="1:27" ht="13.2">
      <c r="A1019" s="25"/>
      <c r="B1019" s="25"/>
      <c r="C1019" s="25"/>
      <c r="D1019" s="25"/>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row>
    <row r="1020" spans="1:27" ht="13.2">
      <c r="A1020" s="25"/>
      <c r="B1020" s="25"/>
      <c r="C1020" s="25"/>
      <c r="D1020" s="25"/>
      <c r="E1020" s="25"/>
      <c r="F1020" s="25"/>
      <c r="G1020" s="25"/>
      <c r="H1020" s="25"/>
      <c r="I1020" s="25"/>
      <c r="J1020" s="25"/>
      <c r="K1020" s="25"/>
      <c r="L1020" s="25"/>
      <c r="M1020" s="25"/>
      <c r="N1020" s="25"/>
      <c r="O1020" s="25"/>
      <c r="P1020" s="25"/>
      <c r="Q1020" s="25"/>
      <c r="R1020" s="25"/>
      <c r="S1020" s="25"/>
      <c r="T1020" s="25"/>
      <c r="U1020" s="25"/>
      <c r="V1020" s="25"/>
      <c r="W1020" s="25"/>
      <c r="X1020" s="25"/>
      <c r="Y1020" s="25"/>
      <c r="Z1020" s="25"/>
      <c r="AA1020" s="25"/>
    </row>
    <row r="1021" spans="1:27" ht="13.2">
      <c r="C1021" s="25"/>
      <c r="D1021" s="25"/>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row>
    <row r="1022" spans="1:27" ht="13.2">
      <c r="P1022" s="25"/>
      <c r="Q1022" s="25"/>
      <c r="R1022" s="25"/>
      <c r="S1022" s="25"/>
      <c r="T1022" s="25"/>
      <c r="U1022" s="25"/>
      <c r="V1022" s="25"/>
      <c r="W1022" s="25"/>
      <c r="X1022" s="25"/>
      <c r="Y1022" s="25"/>
      <c r="Z1022" s="25"/>
      <c r="AA1022" s="25"/>
    </row>
    <row r="1023" spans="1:27" ht="13.2">
      <c r="P1023" s="25"/>
      <c r="Q1023" s="25"/>
      <c r="R1023" s="25"/>
      <c r="S1023" s="25"/>
      <c r="T1023" s="25"/>
      <c r="U1023" s="25"/>
      <c r="V1023" s="25"/>
      <c r="W1023" s="25"/>
      <c r="X1023" s="25"/>
      <c r="Y1023" s="25"/>
      <c r="Z1023" s="25"/>
      <c r="AA1023" s="25"/>
    </row>
  </sheetData>
  <mergeCells count="7">
    <mergeCell ref="C67:F67"/>
    <mergeCell ref="C68:F68"/>
    <mergeCell ref="B16:D16"/>
    <mergeCell ref="F16:K16"/>
    <mergeCell ref="C64:F64"/>
    <mergeCell ref="C65:F65"/>
    <mergeCell ref="C66:F66"/>
  </mergeCells>
  <conditionalFormatting sqref="C97:N97">
    <cfRule type="containsBlanks" dxfId="2" priority="1">
      <formula>LEN(TRIM(C97))=0</formula>
    </cfRule>
    <cfRule type="notContainsBlanks" dxfId="1" priority="2">
      <formula>LEN(TRIM(C97))&gt;0</formula>
    </cfRule>
  </conditionalFormatting>
  <conditionalFormatting sqref="C101:N101">
    <cfRule type="cellIs" dxfId="0" priority="3" operator="lessThan">
      <formula>0</formula>
    </cfRule>
  </conditionalFormatting>
  <pageMargins left="0.7" right="0.7" top="0.75" bottom="0.75" header="0" footer="0"/>
  <pageSetup orientation="portrait" r:id="rId1"/>
  <ignoredErrors>
    <ignoredError sqref="C95 C97:N10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13"/>
  <sheetViews>
    <sheetView topLeftCell="A28" workbookViewId="0">
      <selection activeCell="B52" sqref="B52"/>
    </sheetView>
  </sheetViews>
  <sheetFormatPr defaultColWidth="12.6640625" defaultRowHeight="15.75" customHeight="1"/>
  <cols>
    <col min="1" max="1" width="14.44140625" style="24" customWidth="1"/>
    <col min="2" max="2" width="24" style="24" customWidth="1"/>
    <col min="3" max="3" width="12.6640625" style="24"/>
    <col min="4" max="4" width="107.33203125" style="24" customWidth="1"/>
    <col min="5" max="16384" width="12.6640625" style="24"/>
  </cols>
  <sheetData>
    <row r="1" spans="1:4">
      <c r="A1" s="42"/>
      <c r="C1" s="62"/>
    </row>
    <row r="2" spans="1:4">
      <c r="A2" s="42"/>
      <c r="C2" s="62"/>
    </row>
    <row r="3" spans="1:4">
      <c r="A3" s="42"/>
      <c r="C3" s="62"/>
    </row>
    <row r="4" spans="1:4">
      <c r="A4" s="42"/>
      <c r="C4" s="62"/>
    </row>
    <row r="5" spans="1:4">
      <c r="A5" s="42"/>
      <c r="C5" s="62"/>
    </row>
    <row r="6" spans="1:4">
      <c r="A6" s="42"/>
      <c r="C6" s="62"/>
    </row>
    <row r="7" spans="1:4">
      <c r="A7" s="42"/>
      <c r="C7" s="62"/>
    </row>
    <row r="8" spans="1:4">
      <c r="A8" s="44" t="s">
        <v>441</v>
      </c>
      <c r="B8" s="63"/>
      <c r="C8" s="64"/>
      <c r="D8" s="63"/>
    </row>
    <row r="9" spans="1:4">
      <c r="C9" s="62"/>
    </row>
    <row r="10" spans="1:4">
      <c r="A10" s="42" t="s">
        <v>349</v>
      </c>
      <c r="B10" s="65">
        <v>44927</v>
      </c>
      <c r="C10" s="62"/>
    </row>
    <row r="11" spans="1:4">
      <c r="A11" s="42" t="s">
        <v>357</v>
      </c>
      <c r="B11" s="65">
        <v>45291</v>
      </c>
      <c r="C11" s="62"/>
    </row>
    <row r="12" spans="1:4">
      <c r="A12" s="42" t="s">
        <v>442</v>
      </c>
      <c r="B12" s="66"/>
      <c r="C12" s="62"/>
      <c r="D12" s="25"/>
    </row>
    <row r="13" spans="1:4">
      <c r="A13" s="42" t="s">
        <v>443</v>
      </c>
      <c r="B13" s="67"/>
      <c r="C13" s="62"/>
      <c r="D13" s="25"/>
    </row>
    <row r="14" spans="1:4">
      <c r="A14" s="25"/>
      <c r="B14" s="25"/>
      <c r="C14" s="62"/>
      <c r="D14" s="25"/>
    </row>
    <row r="15" spans="1:4">
      <c r="A15" s="44" t="s">
        <v>444</v>
      </c>
      <c r="B15" s="44" t="s">
        <v>190</v>
      </c>
      <c r="C15" s="68" t="s">
        <v>191</v>
      </c>
      <c r="D15" s="44" t="s">
        <v>192</v>
      </c>
    </row>
    <row r="16" spans="1:4">
      <c r="A16" s="25"/>
      <c r="B16" s="25"/>
      <c r="C16" s="69"/>
      <c r="D16" s="25"/>
    </row>
    <row r="17" spans="1:4">
      <c r="A17" s="25">
        <v>1</v>
      </c>
      <c r="B17" s="25" t="s">
        <v>445</v>
      </c>
      <c r="C17" s="70"/>
      <c r="D17" s="25" t="s">
        <v>446</v>
      </c>
    </row>
    <row r="18" spans="1:4">
      <c r="A18" s="25">
        <v>2</v>
      </c>
      <c r="B18" s="25" t="s">
        <v>341</v>
      </c>
      <c r="C18" s="70"/>
      <c r="D18" s="25" t="s">
        <v>447</v>
      </c>
    </row>
    <row r="19" spans="1:4">
      <c r="A19" s="25">
        <v>3</v>
      </c>
      <c r="B19" s="25" t="s">
        <v>448</v>
      </c>
      <c r="C19" s="71"/>
      <c r="D19" s="25" t="s">
        <v>449</v>
      </c>
    </row>
    <row r="20" spans="1:4">
      <c r="A20" s="25">
        <v>4</v>
      </c>
      <c r="B20" s="25" t="s">
        <v>450</v>
      </c>
      <c r="C20" s="70"/>
      <c r="D20" s="25" t="s">
        <v>451</v>
      </c>
    </row>
    <row r="21" spans="1:4">
      <c r="A21" s="25">
        <v>5</v>
      </c>
      <c r="B21" s="25" t="s">
        <v>452</v>
      </c>
      <c r="C21" s="71"/>
      <c r="D21" s="25" t="s">
        <v>453</v>
      </c>
    </row>
    <row r="22" spans="1:4">
      <c r="A22" s="25">
        <v>6</v>
      </c>
      <c r="B22" s="25" t="s">
        <v>454</v>
      </c>
      <c r="C22" s="72" t="e">
        <f>C17/C18</f>
        <v>#DIV/0!</v>
      </c>
    </row>
    <row r="23" spans="1:4">
      <c r="A23" s="25">
        <v>7</v>
      </c>
      <c r="B23" s="25" t="s">
        <v>455</v>
      </c>
      <c r="C23" s="72" t="e">
        <f>C22/C21</f>
        <v>#DIV/0!</v>
      </c>
    </row>
    <row r="24" spans="1:4">
      <c r="C24" s="62"/>
    </row>
    <row r="25" spans="1:4">
      <c r="A25" s="44" t="s">
        <v>456</v>
      </c>
      <c r="B25" s="63"/>
      <c r="C25" s="64"/>
      <c r="D25" s="63"/>
    </row>
    <row r="26" spans="1:4">
      <c r="A26" s="25"/>
      <c r="B26" s="25"/>
      <c r="C26" s="62"/>
      <c r="D26" s="25"/>
    </row>
    <row r="27" spans="1:4">
      <c r="A27" s="25">
        <v>8</v>
      </c>
      <c r="B27" s="25" t="s">
        <v>457</v>
      </c>
      <c r="C27" s="73"/>
      <c r="D27" s="25" t="s">
        <v>458</v>
      </c>
    </row>
    <row r="28" spans="1:4">
      <c r="A28" s="25">
        <v>9</v>
      </c>
      <c r="B28" s="25" t="s">
        <v>459</v>
      </c>
      <c r="C28" s="73"/>
      <c r="D28" s="25" t="s">
        <v>460</v>
      </c>
    </row>
    <row r="29" spans="1:4">
      <c r="A29" s="25">
        <v>10</v>
      </c>
      <c r="B29" s="25" t="s">
        <v>461</v>
      </c>
      <c r="C29" s="72" t="e">
        <f>C23*(1-C21)</f>
        <v>#DIV/0!</v>
      </c>
    </row>
    <row r="30" spans="1:4">
      <c r="A30" s="25">
        <v>11</v>
      </c>
      <c r="B30" s="25" t="s">
        <v>462</v>
      </c>
      <c r="C30" s="72" t="e">
        <f>C29*C27</f>
        <v>#DIV/0!</v>
      </c>
    </row>
    <row r="31" spans="1:4">
      <c r="A31" s="25">
        <v>12</v>
      </c>
      <c r="B31" s="25" t="s">
        <v>463</v>
      </c>
      <c r="C31" s="72" t="e">
        <f>C30/C28</f>
        <v>#DIV/0!</v>
      </c>
    </row>
    <row r="32" spans="1:4">
      <c r="A32" s="25">
        <v>13</v>
      </c>
      <c r="B32" s="25" t="s">
        <v>464</v>
      </c>
      <c r="C32" s="72">
        <f>NETWORKDAYS.INTL(B10,B11)</f>
        <v>260</v>
      </c>
    </row>
    <row r="33" spans="1:4">
      <c r="A33" s="25">
        <v>14</v>
      </c>
      <c r="B33" s="25" t="s">
        <v>465</v>
      </c>
      <c r="C33" s="72" t="e">
        <f>C31/C32</f>
        <v>#DIV/0!</v>
      </c>
    </row>
    <row r="34" spans="1:4">
      <c r="C34" s="62"/>
    </row>
    <row r="35" spans="1:4">
      <c r="A35" s="44" t="s">
        <v>466</v>
      </c>
      <c r="B35" s="63"/>
      <c r="C35" s="64"/>
      <c r="D35" s="63"/>
    </row>
    <row r="36" spans="1:4">
      <c r="C36" s="62"/>
    </row>
    <row r="37" spans="1:4">
      <c r="A37" s="25">
        <v>15</v>
      </c>
      <c r="B37" s="25" t="s">
        <v>467</v>
      </c>
      <c r="C37" s="71"/>
      <c r="D37" s="25" t="s">
        <v>468</v>
      </c>
    </row>
    <row r="38" spans="1:4">
      <c r="A38" s="25">
        <v>16</v>
      </c>
      <c r="B38" s="25" t="s">
        <v>469</v>
      </c>
      <c r="C38" s="70"/>
      <c r="D38" s="25" t="s">
        <v>470</v>
      </c>
    </row>
    <row r="39" spans="1:4">
      <c r="A39" s="25">
        <v>17</v>
      </c>
      <c r="B39" s="25" t="s">
        <v>471</v>
      </c>
      <c r="C39" s="72" t="e">
        <f>C23*C19</f>
        <v>#DIV/0!</v>
      </c>
    </row>
    <row r="40" spans="1:4">
      <c r="A40" s="25">
        <v>18</v>
      </c>
      <c r="B40" s="25" t="s">
        <v>472</v>
      </c>
      <c r="C40" s="72" t="e">
        <f>C39/C37</f>
        <v>#DIV/0!</v>
      </c>
    </row>
    <row r="41" spans="1:4">
      <c r="A41" s="25">
        <v>19</v>
      </c>
      <c r="B41" s="25" t="s">
        <v>473</v>
      </c>
      <c r="C41" s="72">
        <v>1</v>
      </c>
    </row>
    <row r="42" spans="1:4">
      <c r="C42" s="62"/>
    </row>
    <row r="43" spans="1:4">
      <c r="A43" s="44" t="s">
        <v>474</v>
      </c>
      <c r="B43" s="63"/>
      <c r="C43" s="64"/>
      <c r="D43" s="63"/>
    </row>
    <row r="44" spans="1:4">
      <c r="C44" s="62"/>
    </row>
    <row r="45" spans="1:4">
      <c r="A45" s="25">
        <v>20</v>
      </c>
      <c r="B45" s="25" t="s">
        <v>475</v>
      </c>
      <c r="C45" s="70"/>
      <c r="D45" s="25" t="s">
        <v>476</v>
      </c>
    </row>
    <row r="46" spans="1:4">
      <c r="A46" s="25">
        <v>21</v>
      </c>
      <c r="B46" s="25" t="s">
        <v>477</v>
      </c>
      <c r="C46" s="72" t="e">
        <f>(C32/C20)*C45</f>
        <v>#DIV/0!</v>
      </c>
    </row>
    <row r="47" spans="1:4">
      <c r="A47" s="25">
        <v>22</v>
      </c>
      <c r="B47" s="25" t="s">
        <v>478</v>
      </c>
      <c r="C47" s="72" t="e">
        <f>C46/C45</f>
        <v>#DIV/0!</v>
      </c>
    </row>
    <row r="48" spans="1:4">
      <c r="C48" s="62"/>
    </row>
    <row r="49" spans="1:4">
      <c r="A49" s="44" t="s">
        <v>479</v>
      </c>
      <c r="B49" s="63"/>
      <c r="C49" s="64"/>
      <c r="D49" s="63"/>
    </row>
    <row r="50" spans="1:4">
      <c r="C50" s="62"/>
    </row>
    <row r="51" spans="1:4">
      <c r="A51" s="25">
        <v>23</v>
      </c>
      <c r="B51" s="25" t="s">
        <v>480</v>
      </c>
      <c r="C51" s="70"/>
      <c r="D51" s="25" t="s">
        <v>481</v>
      </c>
    </row>
    <row r="52" spans="1:4">
      <c r="A52" s="25">
        <f t="shared" ref="A52:A60" si="0">A51+1</f>
        <v>24</v>
      </c>
      <c r="B52" s="25" t="s">
        <v>482</v>
      </c>
      <c r="C52" s="70"/>
      <c r="D52" s="25" t="s">
        <v>483</v>
      </c>
    </row>
    <row r="53" spans="1:4">
      <c r="A53" s="25">
        <f t="shared" si="0"/>
        <v>25</v>
      </c>
      <c r="B53" s="25" t="s">
        <v>484</v>
      </c>
      <c r="C53" s="70"/>
      <c r="D53" s="25" t="s">
        <v>485</v>
      </c>
    </row>
    <row r="54" spans="1:4">
      <c r="A54" s="25">
        <f t="shared" si="0"/>
        <v>26</v>
      </c>
      <c r="B54" s="25" t="s">
        <v>486</v>
      </c>
      <c r="C54" s="70"/>
      <c r="D54" s="25" t="s">
        <v>487</v>
      </c>
    </row>
    <row r="55" spans="1:4">
      <c r="A55" s="25">
        <f t="shared" si="0"/>
        <v>27</v>
      </c>
      <c r="B55" s="25" t="s">
        <v>488</v>
      </c>
      <c r="C55" s="71"/>
      <c r="D55" s="25" t="s">
        <v>489</v>
      </c>
    </row>
    <row r="56" spans="1:4">
      <c r="A56" s="25">
        <f t="shared" si="0"/>
        <v>28</v>
      </c>
      <c r="B56" s="25" t="s">
        <v>480</v>
      </c>
      <c r="C56" s="72" t="e">
        <f>C33*C51*(1+C55)</f>
        <v>#DIV/0!</v>
      </c>
    </row>
    <row r="57" spans="1:4">
      <c r="A57" s="25">
        <f t="shared" si="0"/>
        <v>29</v>
      </c>
      <c r="B57" s="25" t="s">
        <v>482</v>
      </c>
      <c r="C57" s="72">
        <f>C41*C52*(1+C55)</f>
        <v>0</v>
      </c>
    </row>
    <row r="58" spans="1:4">
      <c r="A58" s="25">
        <f t="shared" si="0"/>
        <v>30</v>
      </c>
      <c r="B58" s="25" t="s">
        <v>490</v>
      </c>
      <c r="C58" s="72" t="e">
        <f>C47*C54*(1+C55)</f>
        <v>#DIV/0!</v>
      </c>
    </row>
    <row r="59" spans="1:4">
      <c r="A59" s="25">
        <f t="shared" si="0"/>
        <v>31</v>
      </c>
      <c r="B59" s="25" t="s">
        <v>491</v>
      </c>
      <c r="C59" s="72" t="e">
        <f>C53*C40</f>
        <v>#DIV/0!</v>
      </c>
    </row>
    <row r="60" spans="1:4">
      <c r="A60" s="25">
        <f t="shared" si="0"/>
        <v>32</v>
      </c>
      <c r="B60" s="25" t="s">
        <v>492</v>
      </c>
      <c r="C60" s="72" t="e">
        <f>SUM(C56:C59)</f>
        <v>#DIV/0!</v>
      </c>
    </row>
    <row r="61" spans="1:4">
      <c r="C61" s="62"/>
    </row>
    <row r="62" spans="1:4">
      <c r="A62" s="44" t="s">
        <v>493</v>
      </c>
      <c r="B62" s="63"/>
      <c r="C62" s="64"/>
      <c r="D62" s="63"/>
    </row>
    <row r="63" spans="1:4">
      <c r="C63" s="62"/>
    </row>
    <row r="64" spans="1:4">
      <c r="A64" s="25">
        <f>A60+1</f>
        <v>33</v>
      </c>
      <c r="B64" s="25" t="s">
        <v>494</v>
      </c>
      <c r="C64" s="72" t="e">
        <f>C17/C47/12</f>
        <v>#DIV/0!</v>
      </c>
    </row>
    <row r="65" spans="1:3">
      <c r="A65" s="25">
        <f t="shared" ref="A65:A70" si="1">A64+1</f>
        <v>34</v>
      </c>
      <c r="B65" s="25" t="s">
        <v>495</v>
      </c>
      <c r="C65" s="72" t="e">
        <f>C22/C47/12</f>
        <v>#DIV/0!</v>
      </c>
    </row>
    <row r="66" spans="1:3">
      <c r="A66" s="25">
        <f t="shared" si="1"/>
        <v>35</v>
      </c>
      <c r="B66" s="25" t="s">
        <v>496</v>
      </c>
      <c r="C66" s="72" t="e">
        <f>C23/C33/12</f>
        <v>#DIV/0!</v>
      </c>
    </row>
    <row r="67" spans="1:3">
      <c r="A67" s="25">
        <f t="shared" si="1"/>
        <v>36</v>
      </c>
      <c r="B67" s="25" t="s">
        <v>497</v>
      </c>
      <c r="C67" s="72" t="e">
        <f>C40/12</f>
        <v>#DIV/0!</v>
      </c>
    </row>
    <row r="68" spans="1:3">
      <c r="A68" s="25">
        <f t="shared" si="1"/>
        <v>37</v>
      </c>
      <c r="B68" s="25" t="s">
        <v>498</v>
      </c>
      <c r="C68" s="72" t="e">
        <f>C39/12</f>
        <v>#DIV/0!</v>
      </c>
    </row>
    <row r="69" spans="1:3">
      <c r="A69" s="25">
        <f t="shared" si="1"/>
        <v>38</v>
      </c>
      <c r="B69" s="25" t="s">
        <v>499</v>
      </c>
      <c r="C69" s="74" t="e">
        <f>C60/C17</f>
        <v>#DIV/0!</v>
      </c>
    </row>
    <row r="70" spans="1:3">
      <c r="A70" s="25">
        <f t="shared" si="1"/>
        <v>39</v>
      </c>
      <c r="B70" s="25" t="s">
        <v>500</v>
      </c>
      <c r="C70" s="72" t="e">
        <f>C60/C22</f>
        <v>#DIV/0!</v>
      </c>
    </row>
    <row r="71" spans="1:3">
      <c r="C71" s="62"/>
    </row>
    <row r="72" spans="1:3">
      <c r="C72" s="62"/>
    </row>
    <row r="73" spans="1:3">
      <c r="C73" s="62"/>
    </row>
    <row r="74" spans="1:3">
      <c r="C74" s="62"/>
    </row>
    <row r="75" spans="1:3">
      <c r="C75" s="62"/>
    </row>
    <row r="76" spans="1:3">
      <c r="C76" s="62"/>
    </row>
    <row r="77" spans="1:3">
      <c r="C77" s="62"/>
    </row>
    <row r="78" spans="1:3">
      <c r="C78" s="62"/>
    </row>
    <row r="79" spans="1:3">
      <c r="C79" s="62"/>
    </row>
    <row r="80" spans="1:3">
      <c r="C80" s="62"/>
    </row>
    <row r="81" spans="3:3">
      <c r="C81" s="62"/>
    </row>
    <row r="82" spans="3:3">
      <c r="C82" s="62"/>
    </row>
    <row r="83" spans="3:3">
      <c r="C83" s="62"/>
    </row>
    <row r="84" spans="3:3">
      <c r="C84" s="62"/>
    </row>
    <row r="85" spans="3:3">
      <c r="C85" s="62"/>
    </row>
    <row r="86" spans="3:3">
      <c r="C86" s="62"/>
    </row>
    <row r="87" spans="3:3">
      <c r="C87" s="62"/>
    </row>
    <row r="88" spans="3:3">
      <c r="C88" s="62"/>
    </row>
    <row r="89" spans="3:3">
      <c r="C89" s="62"/>
    </row>
    <row r="90" spans="3:3">
      <c r="C90" s="62"/>
    </row>
    <row r="91" spans="3:3">
      <c r="C91" s="62"/>
    </row>
    <row r="92" spans="3:3">
      <c r="C92" s="62"/>
    </row>
    <row r="93" spans="3:3">
      <c r="C93" s="62"/>
    </row>
    <row r="94" spans="3:3">
      <c r="C94" s="62"/>
    </row>
    <row r="95" spans="3:3">
      <c r="C95" s="62"/>
    </row>
    <row r="96" spans="3:3">
      <c r="C96" s="62"/>
    </row>
    <row r="97" spans="3:3">
      <c r="C97" s="62"/>
    </row>
    <row r="98" spans="3:3">
      <c r="C98" s="62"/>
    </row>
    <row r="99" spans="3:3">
      <c r="C99" s="62"/>
    </row>
    <row r="100" spans="3:3">
      <c r="C100" s="62"/>
    </row>
    <row r="101" spans="3:3">
      <c r="C101" s="62"/>
    </row>
    <row r="102" spans="3:3">
      <c r="C102" s="62"/>
    </row>
    <row r="103" spans="3:3">
      <c r="C103" s="62"/>
    </row>
    <row r="104" spans="3:3">
      <c r="C104" s="62"/>
    </row>
    <row r="105" spans="3:3">
      <c r="C105" s="62"/>
    </row>
    <row r="106" spans="3:3">
      <c r="C106" s="62"/>
    </row>
    <row r="107" spans="3:3">
      <c r="C107" s="62"/>
    </row>
    <row r="108" spans="3:3">
      <c r="C108" s="62"/>
    </row>
    <row r="109" spans="3:3">
      <c r="C109" s="62"/>
    </row>
    <row r="110" spans="3:3">
      <c r="C110" s="62"/>
    </row>
    <row r="111" spans="3:3">
      <c r="C111" s="62"/>
    </row>
    <row r="112" spans="3:3">
      <c r="C112" s="62"/>
    </row>
    <row r="113" spans="3:3">
      <c r="C113" s="62"/>
    </row>
    <row r="114" spans="3:3">
      <c r="C114" s="62"/>
    </row>
    <row r="115" spans="3:3">
      <c r="C115" s="62"/>
    </row>
    <row r="116" spans="3:3">
      <c r="C116" s="62"/>
    </row>
    <row r="117" spans="3:3">
      <c r="C117" s="62"/>
    </row>
    <row r="118" spans="3:3">
      <c r="C118" s="62"/>
    </row>
    <row r="119" spans="3:3">
      <c r="C119" s="62"/>
    </row>
    <row r="120" spans="3:3">
      <c r="C120" s="62"/>
    </row>
    <row r="121" spans="3:3">
      <c r="C121" s="62"/>
    </row>
    <row r="122" spans="3:3">
      <c r="C122" s="62"/>
    </row>
    <row r="123" spans="3:3">
      <c r="C123" s="62"/>
    </row>
    <row r="124" spans="3:3">
      <c r="C124" s="62"/>
    </row>
    <row r="125" spans="3:3">
      <c r="C125" s="62"/>
    </row>
    <row r="126" spans="3:3">
      <c r="C126" s="62"/>
    </row>
    <row r="127" spans="3:3">
      <c r="C127" s="62"/>
    </row>
    <row r="128" spans="3:3">
      <c r="C128" s="62"/>
    </row>
    <row r="129" spans="3:3">
      <c r="C129" s="62"/>
    </row>
    <row r="130" spans="3:3">
      <c r="C130" s="62"/>
    </row>
    <row r="131" spans="3:3">
      <c r="C131" s="62"/>
    </row>
    <row r="132" spans="3:3">
      <c r="C132" s="62"/>
    </row>
    <row r="133" spans="3:3">
      <c r="C133" s="62"/>
    </row>
    <row r="134" spans="3:3">
      <c r="C134" s="62"/>
    </row>
    <row r="135" spans="3:3">
      <c r="C135" s="62"/>
    </row>
    <row r="136" spans="3:3">
      <c r="C136" s="62"/>
    </row>
    <row r="137" spans="3:3">
      <c r="C137" s="62"/>
    </row>
    <row r="138" spans="3:3">
      <c r="C138" s="62"/>
    </row>
    <row r="139" spans="3:3">
      <c r="C139" s="62"/>
    </row>
    <row r="140" spans="3:3">
      <c r="C140" s="62"/>
    </row>
    <row r="141" spans="3:3">
      <c r="C141" s="62"/>
    </row>
    <row r="142" spans="3:3">
      <c r="C142" s="62"/>
    </row>
    <row r="143" spans="3:3">
      <c r="C143" s="62"/>
    </row>
    <row r="144" spans="3:3">
      <c r="C144" s="62"/>
    </row>
    <row r="145" spans="3:3">
      <c r="C145" s="62"/>
    </row>
    <row r="146" spans="3:3">
      <c r="C146" s="62"/>
    </row>
    <row r="147" spans="3:3">
      <c r="C147" s="62"/>
    </row>
    <row r="148" spans="3:3">
      <c r="C148" s="62"/>
    </row>
    <row r="149" spans="3:3">
      <c r="C149" s="62"/>
    </row>
    <row r="150" spans="3:3">
      <c r="C150" s="62"/>
    </row>
    <row r="151" spans="3:3">
      <c r="C151" s="62"/>
    </row>
    <row r="152" spans="3:3">
      <c r="C152" s="62"/>
    </row>
    <row r="153" spans="3:3">
      <c r="C153" s="62"/>
    </row>
    <row r="154" spans="3:3">
      <c r="C154" s="62"/>
    </row>
    <row r="155" spans="3:3">
      <c r="C155" s="62"/>
    </row>
    <row r="156" spans="3:3">
      <c r="C156" s="62"/>
    </row>
    <row r="157" spans="3:3">
      <c r="C157" s="62"/>
    </row>
    <row r="158" spans="3:3">
      <c r="C158" s="62"/>
    </row>
    <row r="159" spans="3:3">
      <c r="C159" s="62"/>
    </row>
    <row r="160" spans="3:3">
      <c r="C160" s="62"/>
    </row>
    <row r="161" spans="3:3">
      <c r="C161" s="62"/>
    </row>
    <row r="162" spans="3:3">
      <c r="C162" s="62"/>
    </row>
    <row r="163" spans="3:3">
      <c r="C163" s="62"/>
    </row>
    <row r="164" spans="3:3">
      <c r="C164" s="62"/>
    </row>
    <row r="165" spans="3:3">
      <c r="C165" s="62"/>
    </row>
    <row r="166" spans="3:3">
      <c r="C166" s="62"/>
    </row>
    <row r="167" spans="3:3">
      <c r="C167" s="62"/>
    </row>
    <row r="168" spans="3:3">
      <c r="C168" s="62"/>
    </row>
    <row r="169" spans="3:3">
      <c r="C169" s="62"/>
    </row>
    <row r="170" spans="3:3">
      <c r="C170" s="62"/>
    </row>
    <row r="171" spans="3:3">
      <c r="C171" s="62"/>
    </row>
    <row r="172" spans="3:3">
      <c r="C172" s="62"/>
    </row>
    <row r="173" spans="3:3">
      <c r="C173" s="62"/>
    </row>
    <row r="174" spans="3:3">
      <c r="C174" s="62"/>
    </row>
    <row r="175" spans="3:3">
      <c r="C175" s="62"/>
    </row>
    <row r="176" spans="3:3">
      <c r="C176" s="62"/>
    </row>
    <row r="177" spans="3:3">
      <c r="C177" s="62"/>
    </row>
    <row r="178" spans="3:3">
      <c r="C178" s="62"/>
    </row>
    <row r="179" spans="3:3">
      <c r="C179" s="62"/>
    </row>
    <row r="180" spans="3:3">
      <c r="C180" s="62"/>
    </row>
    <row r="181" spans="3:3">
      <c r="C181" s="62"/>
    </row>
    <row r="182" spans="3:3">
      <c r="C182" s="62"/>
    </row>
    <row r="183" spans="3:3">
      <c r="C183" s="62"/>
    </row>
    <row r="184" spans="3:3">
      <c r="C184" s="62"/>
    </row>
    <row r="185" spans="3:3">
      <c r="C185" s="62"/>
    </row>
    <row r="186" spans="3:3">
      <c r="C186" s="62"/>
    </row>
    <row r="187" spans="3:3">
      <c r="C187" s="62"/>
    </row>
    <row r="188" spans="3:3">
      <c r="C188" s="62"/>
    </row>
    <row r="189" spans="3:3">
      <c r="C189" s="62"/>
    </row>
    <row r="190" spans="3:3">
      <c r="C190" s="62"/>
    </row>
    <row r="191" spans="3:3">
      <c r="C191" s="62"/>
    </row>
    <row r="192" spans="3:3">
      <c r="C192" s="62"/>
    </row>
    <row r="193" spans="3:3">
      <c r="C193" s="62"/>
    </row>
    <row r="194" spans="3:3">
      <c r="C194" s="62"/>
    </row>
    <row r="195" spans="3:3">
      <c r="C195" s="62"/>
    </row>
    <row r="196" spans="3:3">
      <c r="C196" s="62"/>
    </row>
    <row r="197" spans="3:3">
      <c r="C197" s="62"/>
    </row>
    <row r="198" spans="3:3">
      <c r="C198" s="62"/>
    </row>
    <row r="199" spans="3:3">
      <c r="C199" s="62"/>
    </row>
    <row r="200" spans="3:3">
      <c r="C200" s="62"/>
    </row>
    <row r="201" spans="3:3">
      <c r="C201" s="62"/>
    </row>
    <row r="202" spans="3:3">
      <c r="C202" s="62"/>
    </row>
    <row r="203" spans="3:3">
      <c r="C203" s="62"/>
    </row>
    <row r="204" spans="3:3">
      <c r="C204" s="62"/>
    </row>
    <row r="205" spans="3:3">
      <c r="C205" s="62"/>
    </row>
    <row r="206" spans="3:3">
      <c r="C206" s="62"/>
    </row>
    <row r="207" spans="3:3">
      <c r="C207" s="62"/>
    </row>
    <row r="208" spans="3:3">
      <c r="C208" s="62"/>
    </row>
    <row r="209" spans="3:3">
      <c r="C209" s="62"/>
    </row>
    <row r="210" spans="3:3">
      <c r="C210" s="62"/>
    </row>
    <row r="211" spans="3:3">
      <c r="C211" s="62"/>
    </row>
    <row r="212" spans="3:3">
      <c r="C212" s="62"/>
    </row>
    <row r="213" spans="3:3">
      <c r="C213" s="62"/>
    </row>
    <row r="214" spans="3:3">
      <c r="C214" s="62"/>
    </row>
    <row r="215" spans="3:3">
      <c r="C215" s="62"/>
    </row>
    <row r="216" spans="3:3">
      <c r="C216" s="62"/>
    </row>
    <row r="217" spans="3:3">
      <c r="C217" s="62"/>
    </row>
    <row r="218" spans="3:3">
      <c r="C218" s="62"/>
    </row>
    <row r="219" spans="3:3">
      <c r="C219" s="62"/>
    </row>
    <row r="220" spans="3:3">
      <c r="C220" s="62"/>
    </row>
    <row r="221" spans="3:3">
      <c r="C221" s="62"/>
    </row>
    <row r="222" spans="3:3">
      <c r="C222" s="62"/>
    </row>
    <row r="223" spans="3:3">
      <c r="C223" s="62"/>
    </row>
    <row r="224" spans="3:3">
      <c r="C224" s="62"/>
    </row>
    <row r="225" spans="3:3">
      <c r="C225" s="62"/>
    </row>
    <row r="226" spans="3:3">
      <c r="C226" s="62"/>
    </row>
    <row r="227" spans="3:3">
      <c r="C227" s="62"/>
    </row>
    <row r="228" spans="3:3">
      <c r="C228" s="62"/>
    </row>
    <row r="229" spans="3:3">
      <c r="C229" s="62"/>
    </row>
    <row r="230" spans="3:3">
      <c r="C230" s="62"/>
    </row>
    <row r="231" spans="3:3">
      <c r="C231" s="62"/>
    </row>
    <row r="232" spans="3:3">
      <c r="C232" s="62"/>
    </row>
    <row r="233" spans="3:3">
      <c r="C233" s="62"/>
    </row>
    <row r="234" spans="3:3">
      <c r="C234" s="62"/>
    </row>
    <row r="235" spans="3:3">
      <c r="C235" s="62"/>
    </row>
    <row r="236" spans="3:3">
      <c r="C236" s="62"/>
    </row>
    <row r="237" spans="3:3">
      <c r="C237" s="62"/>
    </row>
    <row r="238" spans="3:3">
      <c r="C238" s="62"/>
    </row>
    <row r="239" spans="3:3">
      <c r="C239" s="62"/>
    </row>
    <row r="240" spans="3:3">
      <c r="C240" s="62"/>
    </row>
    <row r="241" spans="3:3">
      <c r="C241" s="62"/>
    </row>
    <row r="242" spans="3:3">
      <c r="C242" s="62"/>
    </row>
    <row r="243" spans="3:3">
      <c r="C243" s="62"/>
    </row>
    <row r="244" spans="3:3">
      <c r="C244" s="62"/>
    </row>
    <row r="245" spans="3:3">
      <c r="C245" s="62"/>
    </row>
    <row r="246" spans="3:3">
      <c r="C246" s="62"/>
    </row>
    <row r="247" spans="3:3">
      <c r="C247" s="62"/>
    </row>
    <row r="248" spans="3:3">
      <c r="C248" s="62"/>
    </row>
    <row r="249" spans="3:3">
      <c r="C249" s="62"/>
    </row>
    <row r="250" spans="3:3">
      <c r="C250" s="62"/>
    </row>
    <row r="251" spans="3:3">
      <c r="C251" s="62"/>
    </row>
    <row r="252" spans="3:3">
      <c r="C252" s="62"/>
    </row>
    <row r="253" spans="3:3">
      <c r="C253" s="62"/>
    </row>
    <row r="254" spans="3:3">
      <c r="C254" s="62"/>
    </row>
    <row r="255" spans="3:3">
      <c r="C255" s="62"/>
    </row>
    <row r="256" spans="3:3">
      <c r="C256" s="62"/>
    </row>
    <row r="257" spans="3:3">
      <c r="C257" s="62"/>
    </row>
    <row r="258" spans="3:3">
      <c r="C258" s="62"/>
    </row>
    <row r="259" spans="3:3">
      <c r="C259" s="62"/>
    </row>
    <row r="260" spans="3:3">
      <c r="C260" s="62"/>
    </row>
    <row r="261" spans="3:3">
      <c r="C261" s="62"/>
    </row>
    <row r="262" spans="3:3">
      <c r="C262" s="62"/>
    </row>
    <row r="263" spans="3:3">
      <c r="C263" s="62"/>
    </row>
    <row r="264" spans="3:3">
      <c r="C264" s="62"/>
    </row>
    <row r="265" spans="3:3">
      <c r="C265" s="62"/>
    </row>
    <row r="266" spans="3:3">
      <c r="C266" s="62"/>
    </row>
    <row r="267" spans="3:3">
      <c r="C267" s="62"/>
    </row>
    <row r="268" spans="3:3">
      <c r="C268" s="62"/>
    </row>
    <row r="269" spans="3:3">
      <c r="C269" s="62"/>
    </row>
    <row r="270" spans="3:3">
      <c r="C270" s="62"/>
    </row>
    <row r="271" spans="3:3">
      <c r="C271" s="62"/>
    </row>
    <row r="272" spans="3:3">
      <c r="C272" s="62"/>
    </row>
    <row r="273" spans="3:3">
      <c r="C273" s="62"/>
    </row>
    <row r="274" spans="3:3">
      <c r="C274" s="62"/>
    </row>
    <row r="275" spans="3:3">
      <c r="C275" s="62"/>
    </row>
    <row r="276" spans="3:3">
      <c r="C276" s="62"/>
    </row>
    <row r="277" spans="3:3">
      <c r="C277" s="62"/>
    </row>
    <row r="278" spans="3:3">
      <c r="C278" s="62"/>
    </row>
    <row r="279" spans="3:3">
      <c r="C279" s="62"/>
    </row>
    <row r="280" spans="3:3">
      <c r="C280" s="62"/>
    </row>
    <row r="281" spans="3:3">
      <c r="C281" s="62"/>
    </row>
    <row r="282" spans="3:3">
      <c r="C282" s="62"/>
    </row>
    <row r="283" spans="3:3">
      <c r="C283" s="62"/>
    </row>
    <row r="284" spans="3:3">
      <c r="C284" s="62"/>
    </row>
    <row r="285" spans="3:3">
      <c r="C285" s="62"/>
    </row>
    <row r="286" spans="3:3">
      <c r="C286" s="62"/>
    </row>
    <row r="287" spans="3:3">
      <c r="C287" s="62"/>
    </row>
    <row r="288" spans="3:3">
      <c r="C288" s="62"/>
    </row>
    <row r="289" spans="3:3">
      <c r="C289" s="62"/>
    </row>
    <row r="290" spans="3:3">
      <c r="C290" s="62"/>
    </row>
    <row r="291" spans="3:3">
      <c r="C291" s="62"/>
    </row>
    <row r="292" spans="3:3">
      <c r="C292" s="62"/>
    </row>
    <row r="293" spans="3:3">
      <c r="C293" s="62"/>
    </row>
    <row r="294" spans="3:3">
      <c r="C294" s="62"/>
    </row>
    <row r="295" spans="3:3">
      <c r="C295" s="62"/>
    </row>
    <row r="296" spans="3:3">
      <c r="C296" s="62"/>
    </row>
    <row r="297" spans="3:3">
      <c r="C297" s="62"/>
    </row>
    <row r="298" spans="3:3">
      <c r="C298" s="62"/>
    </row>
    <row r="299" spans="3:3">
      <c r="C299" s="62"/>
    </row>
    <row r="300" spans="3:3">
      <c r="C300" s="62"/>
    </row>
    <row r="301" spans="3:3">
      <c r="C301" s="62"/>
    </row>
    <row r="302" spans="3:3">
      <c r="C302" s="62"/>
    </row>
    <row r="303" spans="3:3">
      <c r="C303" s="62"/>
    </row>
    <row r="304" spans="3:3">
      <c r="C304" s="62"/>
    </row>
    <row r="305" spans="3:3">
      <c r="C305" s="62"/>
    </row>
    <row r="306" spans="3:3">
      <c r="C306" s="62"/>
    </row>
    <row r="307" spans="3:3">
      <c r="C307" s="62"/>
    </row>
    <row r="308" spans="3:3">
      <c r="C308" s="62"/>
    </row>
    <row r="309" spans="3:3">
      <c r="C309" s="62"/>
    </row>
    <row r="310" spans="3:3">
      <c r="C310" s="62"/>
    </row>
    <row r="311" spans="3:3">
      <c r="C311" s="62"/>
    </row>
    <row r="312" spans="3:3">
      <c r="C312" s="62"/>
    </row>
    <row r="313" spans="3:3">
      <c r="C313" s="62"/>
    </row>
    <row r="314" spans="3:3">
      <c r="C314" s="62"/>
    </row>
    <row r="315" spans="3:3">
      <c r="C315" s="62"/>
    </row>
    <row r="316" spans="3:3">
      <c r="C316" s="62"/>
    </row>
    <row r="317" spans="3:3">
      <c r="C317" s="62"/>
    </row>
    <row r="318" spans="3:3">
      <c r="C318" s="62"/>
    </row>
    <row r="319" spans="3:3">
      <c r="C319" s="62"/>
    </row>
    <row r="320" spans="3:3">
      <c r="C320" s="62"/>
    </row>
    <row r="321" spans="3:3">
      <c r="C321" s="62"/>
    </row>
    <row r="322" spans="3:3">
      <c r="C322" s="62"/>
    </row>
    <row r="323" spans="3:3">
      <c r="C323" s="62"/>
    </row>
    <row r="324" spans="3:3">
      <c r="C324" s="62"/>
    </row>
    <row r="325" spans="3:3">
      <c r="C325" s="62"/>
    </row>
    <row r="326" spans="3:3">
      <c r="C326" s="62"/>
    </row>
    <row r="327" spans="3:3">
      <c r="C327" s="62"/>
    </row>
    <row r="328" spans="3:3">
      <c r="C328" s="62"/>
    </row>
    <row r="329" spans="3:3">
      <c r="C329" s="62"/>
    </row>
    <row r="330" spans="3:3">
      <c r="C330" s="62"/>
    </row>
    <row r="331" spans="3:3">
      <c r="C331" s="62"/>
    </row>
    <row r="332" spans="3:3">
      <c r="C332" s="62"/>
    </row>
    <row r="333" spans="3:3">
      <c r="C333" s="62"/>
    </row>
    <row r="334" spans="3:3">
      <c r="C334" s="62"/>
    </row>
    <row r="335" spans="3:3">
      <c r="C335" s="62"/>
    </row>
    <row r="336" spans="3:3">
      <c r="C336" s="62"/>
    </row>
    <row r="337" spans="3:3">
      <c r="C337" s="62"/>
    </row>
    <row r="338" spans="3:3">
      <c r="C338" s="62"/>
    </row>
    <row r="339" spans="3:3">
      <c r="C339" s="62"/>
    </row>
    <row r="340" spans="3:3">
      <c r="C340" s="62"/>
    </row>
    <row r="341" spans="3:3">
      <c r="C341" s="62"/>
    </row>
    <row r="342" spans="3:3">
      <c r="C342" s="62"/>
    </row>
    <row r="343" spans="3:3">
      <c r="C343" s="62"/>
    </row>
    <row r="344" spans="3:3">
      <c r="C344" s="62"/>
    </row>
    <row r="345" spans="3:3">
      <c r="C345" s="62"/>
    </row>
    <row r="346" spans="3:3">
      <c r="C346" s="62"/>
    </row>
    <row r="347" spans="3:3">
      <c r="C347" s="62"/>
    </row>
    <row r="348" spans="3:3">
      <c r="C348" s="62"/>
    </row>
    <row r="349" spans="3:3">
      <c r="C349" s="62"/>
    </row>
    <row r="350" spans="3:3">
      <c r="C350" s="62"/>
    </row>
    <row r="351" spans="3:3">
      <c r="C351" s="62"/>
    </row>
    <row r="352" spans="3:3">
      <c r="C352" s="62"/>
    </row>
    <row r="353" spans="3:3">
      <c r="C353" s="62"/>
    </row>
    <row r="354" spans="3:3">
      <c r="C354" s="62"/>
    </row>
    <row r="355" spans="3:3">
      <c r="C355" s="62"/>
    </row>
    <row r="356" spans="3:3">
      <c r="C356" s="62"/>
    </row>
    <row r="357" spans="3:3">
      <c r="C357" s="62"/>
    </row>
    <row r="358" spans="3:3">
      <c r="C358" s="62"/>
    </row>
    <row r="359" spans="3:3">
      <c r="C359" s="62"/>
    </row>
    <row r="360" spans="3:3">
      <c r="C360" s="62"/>
    </row>
    <row r="361" spans="3:3">
      <c r="C361" s="62"/>
    </row>
    <row r="362" spans="3:3">
      <c r="C362" s="62"/>
    </row>
    <row r="363" spans="3:3">
      <c r="C363" s="62"/>
    </row>
    <row r="364" spans="3:3">
      <c r="C364" s="62"/>
    </row>
    <row r="365" spans="3:3">
      <c r="C365" s="62"/>
    </row>
    <row r="366" spans="3:3">
      <c r="C366" s="62"/>
    </row>
    <row r="367" spans="3:3">
      <c r="C367" s="62"/>
    </row>
    <row r="368" spans="3:3">
      <c r="C368" s="62"/>
    </row>
    <row r="369" spans="3:3">
      <c r="C369" s="62"/>
    </row>
    <row r="370" spans="3:3">
      <c r="C370" s="62"/>
    </row>
    <row r="371" spans="3:3">
      <c r="C371" s="62"/>
    </row>
    <row r="372" spans="3:3">
      <c r="C372" s="62"/>
    </row>
    <row r="373" spans="3:3">
      <c r="C373" s="62"/>
    </row>
    <row r="374" spans="3:3">
      <c r="C374" s="62"/>
    </row>
    <row r="375" spans="3:3">
      <c r="C375" s="62"/>
    </row>
    <row r="376" spans="3:3">
      <c r="C376" s="62"/>
    </row>
    <row r="377" spans="3:3">
      <c r="C377" s="62"/>
    </row>
    <row r="378" spans="3:3">
      <c r="C378" s="62"/>
    </row>
    <row r="379" spans="3:3">
      <c r="C379" s="62"/>
    </row>
    <row r="380" spans="3:3">
      <c r="C380" s="62"/>
    </row>
    <row r="381" spans="3:3">
      <c r="C381" s="62"/>
    </row>
    <row r="382" spans="3:3">
      <c r="C382" s="62"/>
    </row>
    <row r="383" spans="3:3">
      <c r="C383" s="62"/>
    </row>
    <row r="384" spans="3:3">
      <c r="C384" s="62"/>
    </row>
    <row r="385" spans="3:3">
      <c r="C385" s="62"/>
    </row>
    <row r="386" spans="3:3">
      <c r="C386" s="62"/>
    </row>
    <row r="387" spans="3:3">
      <c r="C387" s="62"/>
    </row>
    <row r="388" spans="3:3">
      <c r="C388" s="62"/>
    </row>
    <row r="389" spans="3:3">
      <c r="C389" s="62"/>
    </row>
    <row r="390" spans="3:3">
      <c r="C390" s="62"/>
    </row>
    <row r="391" spans="3:3">
      <c r="C391" s="62"/>
    </row>
    <row r="392" spans="3:3">
      <c r="C392" s="62"/>
    </row>
    <row r="393" spans="3:3">
      <c r="C393" s="62"/>
    </row>
    <row r="394" spans="3:3">
      <c r="C394" s="62"/>
    </row>
    <row r="395" spans="3:3">
      <c r="C395" s="62"/>
    </row>
    <row r="396" spans="3:3">
      <c r="C396" s="62"/>
    </row>
    <row r="397" spans="3:3">
      <c r="C397" s="62"/>
    </row>
    <row r="398" spans="3:3">
      <c r="C398" s="62"/>
    </row>
    <row r="399" spans="3:3">
      <c r="C399" s="62"/>
    </row>
    <row r="400" spans="3:3">
      <c r="C400" s="62"/>
    </row>
    <row r="401" spans="3:3">
      <c r="C401" s="62"/>
    </row>
    <row r="402" spans="3:3">
      <c r="C402" s="62"/>
    </row>
    <row r="403" spans="3:3">
      <c r="C403" s="62"/>
    </row>
    <row r="404" spans="3:3">
      <c r="C404" s="62"/>
    </row>
    <row r="405" spans="3:3">
      <c r="C405" s="62"/>
    </row>
    <row r="406" spans="3:3">
      <c r="C406" s="62"/>
    </row>
    <row r="407" spans="3:3">
      <c r="C407" s="62"/>
    </row>
    <row r="408" spans="3:3">
      <c r="C408" s="62"/>
    </row>
    <row r="409" spans="3:3">
      <c r="C409" s="62"/>
    </row>
    <row r="410" spans="3:3">
      <c r="C410" s="62"/>
    </row>
    <row r="411" spans="3:3">
      <c r="C411" s="62"/>
    </row>
    <row r="412" spans="3:3">
      <c r="C412" s="62"/>
    </row>
    <row r="413" spans="3:3">
      <c r="C413" s="62"/>
    </row>
    <row r="414" spans="3:3">
      <c r="C414" s="62"/>
    </row>
    <row r="415" spans="3:3">
      <c r="C415" s="62"/>
    </row>
    <row r="416" spans="3:3">
      <c r="C416" s="62"/>
    </row>
    <row r="417" spans="3:3">
      <c r="C417" s="62"/>
    </row>
    <row r="418" spans="3:3">
      <c r="C418" s="62"/>
    </row>
    <row r="419" spans="3:3">
      <c r="C419" s="62"/>
    </row>
    <row r="420" spans="3:3">
      <c r="C420" s="62"/>
    </row>
    <row r="421" spans="3:3">
      <c r="C421" s="62"/>
    </row>
    <row r="422" spans="3:3">
      <c r="C422" s="62"/>
    </row>
    <row r="423" spans="3:3">
      <c r="C423" s="62"/>
    </row>
    <row r="424" spans="3:3">
      <c r="C424" s="62"/>
    </row>
    <row r="425" spans="3:3">
      <c r="C425" s="62"/>
    </row>
    <row r="426" spans="3:3">
      <c r="C426" s="62"/>
    </row>
    <row r="427" spans="3:3">
      <c r="C427" s="62"/>
    </row>
    <row r="428" spans="3:3">
      <c r="C428" s="62"/>
    </row>
    <row r="429" spans="3:3">
      <c r="C429" s="62"/>
    </row>
    <row r="430" spans="3:3">
      <c r="C430" s="62"/>
    </row>
    <row r="431" spans="3:3">
      <c r="C431" s="62"/>
    </row>
    <row r="432" spans="3:3">
      <c r="C432" s="62"/>
    </row>
    <row r="433" spans="3:3">
      <c r="C433" s="62"/>
    </row>
    <row r="434" spans="3:3">
      <c r="C434" s="62"/>
    </row>
    <row r="435" spans="3:3">
      <c r="C435" s="62"/>
    </row>
    <row r="436" spans="3:3">
      <c r="C436" s="62"/>
    </row>
    <row r="437" spans="3:3">
      <c r="C437" s="62"/>
    </row>
    <row r="438" spans="3:3">
      <c r="C438" s="62"/>
    </row>
    <row r="439" spans="3:3">
      <c r="C439" s="62"/>
    </row>
    <row r="440" spans="3:3">
      <c r="C440" s="62"/>
    </row>
    <row r="441" spans="3:3">
      <c r="C441" s="62"/>
    </row>
    <row r="442" spans="3:3">
      <c r="C442" s="62"/>
    </row>
    <row r="443" spans="3:3">
      <c r="C443" s="62"/>
    </row>
    <row r="444" spans="3:3">
      <c r="C444" s="62"/>
    </row>
    <row r="445" spans="3:3">
      <c r="C445" s="62"/>
    </row>
    <row r="446" spans="3:3">
      <c r="C446" s="62"/>
    </row>
    <row r="447" spans="3:3">
      <c r="C447" s="62"/>
    </row>
    <row r="448" spans="3:3">
      <c r="C448" s="62"/>
    </row>
    <row r="449" spans="3:3">
      <c r="C449" s="62"/>
    </row>
    <row r="450" spans="3:3">
      <c r="C450" s="62"/>
    </row>
    <row r="451" spans="3:3">
      <c r="C451" s="62"/>
    </row>
    <row r="452" spans="3:3">
      <c r="C452" s="62"/>
    </row>
    <row r="453" spans="3:3">
      <c r="C453" s="62"/>
    </row>
    <row r="454" spans="3:3">
      <c r="C454" s="62"/>
    </row>
    <row r="455" spans="3:3">
      <c r="C455" s="62"/>
    </row>
    <row r="456" spans="3:3">
      <c r="C456" s="62"/>
    </row>
    <row r="457" spans="3:3">
      <c r="C457" s="62"/>
    </row>
    <row r="458" spans="3:3">
      <c r="C458" s="62"/>
    </row>
    <row r="459" spans="3:3">
      <c r="C459" s="62"/>
    </row>
    <row r="460" spans="3:3">
      <c r="C460" s="62"/>
    </row>
    <row r="461" spans="3:3">
      <c r="C461" s="62"/>
    </row>
    <row r="462" spans="3:3">
      <c r="C462" s="62"/>
    </row>
    <row r="463" spans="3:3">
      <c r="C463" s="62"/>
    </row>
    <row r="464" spans="3:3">
      <c r="C464" s="62"/>
    </row>
    <row r="465" spans="3:3">
      <c r="C465" s="62"/>
    </row>
    <row r="466" spans="3:3">
      <c r="C466" s="62"/>
    </row>
    <row r="467" spans="3:3">
      <c r="C467" s="62"/>
    </row>
    <row r="468" spans="3:3">
      <c r="C468" s="62"/>
    </row>
    <row r="469" spans="3:3">
      <c r="C469" s="62"/>
    </row>
    <row r="470" spans="3:3">
      <c r="C470" s="62"/>
    </row>
    <row r="471" spans="3:3">
      <c r="C471" s="62"/>
    </row>
    <row r="472" spans="3:3">
      <c r="C472" s="62"/>
    </row>
    <row r="473" spans="3:3">
      <c r="C473" s="62"/>
    </row>
    <row r="474" spans="3:3">
      <c r="C474" s="62"/>
    </row>
    <row r="475" spans="3:3">
      <c r="C475" s="62"/>
    </row>
    <row r="476" spans="3:3">
      <c r="C476" s="62"/>
    </row>
    <row r="477" spans="3:3">
      <c r="C477" s="62"/>
    </row>
    <row r="478" spans="3:3">
      <c r="C478" s="62"/>
    </row>
    <row r="479" spans="3:3">
      <c r="C479" s="62"/>
    </row>
    <row r="480" spans="3:3">
      <c r="C480" s="62"/>
    </row>
    <row r="481" spans="3:3">
      <c r="C481" s="62"/>
    </row>
    <row r="482" spans="3:3">
      <c r="C482" s="62"/>
    </row>
    <row r="483" spans="3:3">
      <c r="C483" s="62"/>
    </row>
    <row r="484" spans="3:3">
      <c r="C484" s="62"/>
    </row>
    <row r="485" spans="3:3">
      <c r="C485" s="62"/>
    </row>
    <row r="486" spans="3:3">
      <c r="C486" s="62"/>
    </row>
    <row r="487" spans="3:3">
      <c r="C487" s="62"/>
    </row>
    <row r="488" spans="3:3">
      <c r="C488" s="62"/>
    </row>
    <row r="489" spans="3:3">
      <c r="C489" s="62"/>
    </row>
    <row r="490" spans="3:3">
      <c r="C490" s="62"/>
    </row>
    <row r="491" spans="3:3">
      <c r="C491" s="62"/>
    </row>
    <row r="492" spans="3:3">
      <c r="C492" s="62"/>
    </row>
    <row r="493" spans="3:3">
      <c r="C493" s="62"/>
    </row>
    <row r="494" spans="3:3">
      <c r="C494" s="62"/>
    </row>
    <row r="495" spans="3:3">
      <c r="C495" s="62"/>
    </row>
    <row r="496" spans="3:3">
      <c r="C496" s="62"/>
    </row>
    <row r="497" spans="3:3">
      <c r="C497" s="62"/>
    </row>
    <row r="498" spans="3:3">
      <c r="C498" s="62"/>
    </row>
    <row r="499" spans="3:3">
      <c r="C499" s="62"/>
    </row>
    <row r="500" spans="3:3">
      <c r="C500" s="62"/>
    </row>
    <row r="501" spans="3:3">
      <c r="C501" s="62"/>
    </row>
    <row r="502" spans="3:3">
      <c r="C502" s="62"/>
    </row>
    <row r="503" spans="3:3">
      <c r="C503" s="62"/>
    </row>
    <row r="504" spans="3:3">
      <c r="C504" s="62"/>
    </row>
    <row r="505" spans="3:3">
      <c r="C505" s="62"/>
    </row>
    <row r="506" spans="3:3">
      <c r="C506" s="62"/>
    </row>
    <row r="507" spans="3:3">
      <c r="C507" s="62"/>
    </row>
    <row r="508" spans="3:3">
      <c r="C508" s="62"/>
    </row>
    <row r="509" spans="3:3">
      <c r="C509" s="62"/>
    </row>
    <row r="510" spans="3:3">
      <c r="C510" s="62"/>
    </row>
    <row r="511" spans="3:3">
      <c r="C511" s="62"/>
    </row>
    <row r="512" spans="3:3">
      <c r="C512" s="62"/>
    </row>
    <row r="513" spans="3:3">
      <c r="C513" s="62"/>
    </row>
    <row r="514" spans="3:3">
      <c r="C514" s="62"/>
    </row>
    <row r="515" spans="3:3">
      <c r="C515" s="62"/>
    </row>
    <row r="516" spans="3:3">
      <c r="C516" s="62"/>
    </row>
    <row r="517" spans="3:3">
      <c r="C517" s="62"/>
    </row>
    <row r="518" spans="3:3">
      <c r="C518" s="62"/>
    </row>
    <row r="519" spans="3:3">
      <c r="C519" s="62"/>
    </row>
    <row r="520" spans="3:3">
      <c r="C520" s="62"/>
    </row>
    <row r="521" spans="3:3">
      <c r="C521" s="62"/>
    </row>
    <row r="522" spans="3:3">
      <c r="C522" s="62"/>
    </row>
    <row r="523" spans="3:3">
      <c r="C523" s="62"/>
    </row>
    <row r="524" spans="3:3">
      <c r="C524" s="62"/>
    </row>
    <row r="525" spans="3:3">
      <c r="C525" s="62"/>
    </row>
    <row r="526" spans="3:3">
      <c r="C526" s="62"/>
    </row>
    <row r="527" spans="3:3">
      <c r="C527" s="62"/>
    </row>
    <row r="528" spans="3:3">
      <c r="C528" s="62"/>
    </row>
    <row r="529" spans="3:3">
      <c r="C529" s="62"/>
    </row>
    <row r="530" spans="3:3">
      <c r="C530" s="62"/>
    </row>
    <row r="531" spans="3:3">
      <c r="C531" s="62"/>
    </row>
    <row r="532" spans="3:3">
      <c r="C532" s="62"/>
    </row>
    <row r="533" spans="3:3">
      <c r="C533" s="62"/>
    </row>
    <row r="534" spans="3:3">
      <c r="C534" s="62"/>
    </row>
    <row r="535" spans="3:3">
      <c r="C535" s="62"/>
    </row>
    <row r="536" spans="3:3">
      <c r="C536" s="62"/>
    </row>
    <row r="537" spans="3:3">
      <c r="C537" s="62"/>
    </row>
    <row r="538" spans="3:3">
      <c r="C538" s="62"/>
    </row>
    <row r="539" spans="3:3">
      <c r="C539" s="62"/>
    </row>
    <row r="540" spans="3:3">
      <c r="C540" s="62"/>
    </row>
    <row r="541" spans="3:3">
      <c r="C541" s="62"/>
    </row>
    <row r="542" spans="3:3">
      <c r="C542" s="62"/>
    </row>
    <row r="543" spans="3:3">
      <c r="C543" s="62"/>
    </row>
    <row r="544" spans="3:3">
      <c r="C544" s="62"/>
    </row>
    <row r="545" spans="3:3">
      <c r="C545" s="62"/>
    </row>
    <row r="546" spans="3:3">
      <c r="C546" s="62"/>
    </row>
    <row r="547" spans="3:3">
      <c r="C547" s="62"/>
    </row>
    <row r="548" spans="3:3">
      <c r="C548" s="62"/>
    </row>
    <row r="549" spans="3:3">
      <c r="C549" s="62"/>
    </row>
    <row r="550" spans="3:3">
      <c r="C550" s="62"/>
    </row>
    <row r="551" spans="3:3">
      <c r="C551" s="62"/>
    </row>
    <row r="552" spans="3:3">
      <c r="C552" s="62"/>
    </row>
    <row r="553" spans="3:3">
      <c r="C553" s="62"/>
    </row>
    <row r="554" spans="3:3">
      <c r="C554" s="62"/>
    </row>
    <row r="555" spans="3:3">
      <c r="C555" s="62"/>
    </row>
    <row r="556" spans="3:3">
      <c r="C556" s="62"/>
    </row>
    <row r="557" spans="3:3">
      <c r="C557" s="62"/>
    </row>
    <row r="558" spans="3:3">
      <c r="C558" s="62"/>
    </row>
    <row r="559" spans="3:3">
      <c r="C559" s="62"/>
    </row>
    <row r="560" spans="3:3">
      <c r="C560" s="62"/>
    </row>
    <row r="561" spans="3:3">
      <c r="C561" s="62"/>
    </row>
    <row r="562" spans="3:3">
      <c r="C562" s="62"/>
    </row>
    <row r="563" spans="3:3">
      <c r="C563" s="62"/>
    </row>
    <row r="564" spans="3:3">
      <c r="C564" s="62"/>
    </row>
    <row r="565" spans="3:3">
      <c r="C565" s="62"/>
    </row>
    <row r="566" spans="3:3">
      <c r="C566" s="62"/>
    </row>
    <row r="567" spans="3:3">
      <c r="C567" s="62"/>
    </row>
    <row r="568" spans="3:3">
      <c r="C568" s="62"/>
    </row>
    <row r="569" spans="3:3">
      <c r="C569" s="62"/>
    </row>
    <row r="570" spans="3:3">
      <c r="C570" s="62"/>
    </row>
    <row r="571" spans="3:3">
      <c r="C571" s="62"/>
    </row>
    <row r="572" spans="3:3">
      <c r="C572" s="62"/>
    </row>
    <row r="573" spans="3:3">
      <c r="C573" s="62"/>
    </row>
    <row r="574" spans="3:3">
      <c r="C574" s="62"/>
    </row>
    <row r="575" spans="3:3">
      <c r="C575" s="62"/>
    </row>
    <row r="576" spans="3:3">
      <c r="C576" s="62"/>
    </row>
    <row r="577" spans="3:3">
      <c r="C577" s="62"/>
    </row>
    <row r="578" spans="3:3">
      <c r="C578" s="62"/>
    </row>
    <row r="579" spans="3:3">
      <c r="C579" s="62"/>
    </row>
    <row r="580" spans="3:3">
      <c r="C580" s="62"/>
    </row>
    <row r="581" spans="3:3">
      <c r="C581" s="62"/>
    </row>
    <row r="582" spans="3:3">
      <c r="C582" s="62"/>
    </row>
    <row r="583" spans="3:3">
      <c r="C583" s="62"/>
    </row>
    <row r="584" spans="3:3">
      <c r="C584" s="62"/>
    </row>
    <row r="585" spans="3:3">
      <c r="C585" s="62"/>
    </row>
    <row r="586" spans="3:3">
      <c r="C586" s="62"/>
    </row>
    <row r="587" spans="3:3">
      <c r="C587" s="62"/>
    </row>
    <row r="588" spans="3:3">
      <c r="C588" s="62"/>
    </row>
    <row r="589" spans="3:3">
      <c r="C589" s="62"/>
    </row>
    <row r="590" spans="3:3">
      <c r="C590" s="62"/>
    </row>
    <row r="591" spans="3:3">
      <c r="C591" s="62"/>
    </row>
    <row r="592" spans="3:3">
      <c r="C592" s="62"/>
    </row>
    <row r="593" spans="3:3">
      <c r="C593" s="62"/>
    </row>
    <row r="594" spans="3:3">
      <c r="C594" s="62"/>
    </row>
    <row r="595" spans="3:3">
      <c r="C595" s="62"/>
    </row>
    <row r="596" spans="3:3">
      <c r="C596" s="62"/>
    </row>
    <row r="597" spans="3:3">
      <c r="C597" s="62"/>
    </row>
    <row r="598" spans="3:3">
      <c r="C598" s="62"/>
    </row>
    <row r="599" spans="3:3">
      <c r="C599" s="62"/>
    </row>
    <row r="600" spans="3:3">
      <c r="C600" s="62"/>
    </row>
    <row r="601" spans="3:3">
      <c r="C601" s="62"/>
    </row>
    <row r="602" spans="3:3">
      <c r="C602" s="62"/>
    </row>
    <row r="603" spans="3:3">
      <c r="C603" s="62"/>
    </row>
    <row r="604" spans="3:3">
      <c r="C604" s="62"/>
    </row>
    <row r="605" spans="3:3">
      <c r="C605" s="62"/>
    </row>
    <row r="606" spans="3:3">
      <c r="C606" s="62"/>
    </row>
    <row r="607" spans="3:3">
      <c r="C607" s="62"/>
    </row>
    <row r="608" spans="3:3">
      <c r="C608" s="62"/>
    </row>
    <row r="609" spans="3:3">
      <c r="C609" s="62"/>
    </row>
    <row r="610" spans="3:3">
      <c r="C610" s="62"/>
    </row>
    <row r="611" spans="3:3">
      <c r="C611" s="62"/>
    </row>
    <row r="612" spans="3:3">
      <c r="C612" s="62"/>
    </row>
    <row r="613" spans="3:3">
      <c r="C613" s="62"/>
    </row>
    <row r="614" spans="3:3">
      <c r="C614" s="62"/>
    </row>
    <row r="615" spans="3:3">
      <c r="C615" s="62"/>
    </row>
    <row r="616" spans="3:3">
      <c r="C616" s="62"/>
    </row>
    <row r="617" spans="3:3">
      <c r="C617" s="62"/>
    </row>
    <row r="618" spans="3:3">
      <c r="C618" s="62"/>
    </row>
    <row r="619" spans="3:3">
      <c r="C619" s="62"/>
    </row>
    <row r="620" spans="3:3">
      <c r="C620" s="62"/>
    </row>
    <row r="621" spans="3:3">
      <c r="C621" s="62"/>
    </row>
    <row r="622" spans="3:3">
      <c r="C622" s="62"/>
    </row>
    <row r="623" spans="3:3">
      <c r="C623" s="62"/>
    </row>
    <row r="624" spans="3:3">
      <c r="C624" s="62"/>
    </row>
    <row r="625" spans="3:3">
      <c r="C625" s="62"/>
    </row>
    <row r="626" spans="3:3">
      <c r="C626" s="62"/>
    </row>
    <row r="627" spans="3:3">
      <c r="C627" s="62"/>
    </row>
    <row r="628" spans="3:3">
      <c r="C628" s="62"/>
    </row>
    <row r="629" spans="3:3">
      <c r="C629" s="62"/>
    </row>
    <row r="630" spans="3:3">
      <c r="C630" s="62"/>
    </row>
    <row r="631" spans="3:3">
      <c r="C631" s="62"/>
    </row>
    <row r="632" spans="3:3">
      <c r="C632" s="62"/>
    </row>
    <row r="633" spans="3:3">
      <c r="C633" s="62"/>
    </row>
    <row r="634" spans="3:3">
      <c r="C634" s="62"/>
    </row>
    <row r="635" spans="3:3">
      <c r="C635" s="62"/>
    </row>
    <row r="636" spans="3:3">
      <c r="C636" s="62"/>
    </row>
    <row r="637" spans="3:3">
      <c r="C637" s="62"/>
    </row>
    <row r="638" spans="3:3">
      <c r="C638" s="62"/>
    </row>
    <row r="639" spans="3:3">
      <c r="C639" s="62"/>
    </row>
    <row r="640" spans="3:3">
      <c r="C640" s="62"/>
    </row>
    <row r="641" spans="3:3">
      <c r="C641" s="62"/>
    </row>
    <row r="642" spans="3:3">
      <c r="C642" s="62"/>
    </row>
    <row r="643" spans="3:3">
      <c r="C643" s="62"/>
    </row>
    <row r="644" spans="3:3">
      <c r="C644" s="62"/>
    </row>
    <row r="645" spans="3:3">
      <c r="C645" s="62"/>
    </row>
    <row r="646" spans="3:3">
      <c r="C646" s="62"/>
    </row>
    <row r="647" spans="3:3">
      <c r="C647" s="62"/>
    </row>
    <row r="648" spans="3:3">
      <c r="C648" s="62"/>
    </row>
    <row r="649" spans="3:3">
      <c r="C649" s="62"/>
    </row>
    <row r="650" spans="3:3">
      <c r="C650" s="62"/>
    </row>
    <row r="651" spans="3:3">
      <c r="C651" s="62"/>
    </row>
    <row r="652" spans="3:3">
      <c r="C652" s="62"/>
    </row>
    <row r="653" spans="3:3">
      <c r="C653" s="62"/>
    </row>
    <row r="654" spans="3:3">
      <c r="C654" s="62"/>
    </row>
    <row r="655" spans="3:3">
      <c r="C655" s="62"/>
    </row>
    <row r="656" spans="3:3">
      <c r="C656" s="62"/>
    </row>
    <row r="657" spans="3:3">
      <c r="C657" s="62"/>
    </row>
    <row r="658" spans="3:3">
      <c r="C658" s="62"/>
    </row>
    <row r="659" spans="3:3">
      <c r="C659" s="62"/>
    </row>
    <row r="660" spans="3:3">
      <c r="C660" s="62"/>
    </row>
    <row r="661" spans="3:3">
      <c r="C661" s="62"/>
    </row>
    <row r="662" spans="3:3">
      <c r="C662" s="62"/>
    </row>
    <row r="663" spans="3:3">
      <c r="C663" s="62"/>
    </row>
    <row r="664" spans="3:3">
      <c r="C664" s="62"/>
    </row>
    <row r="665" spans="3:3">
      <c r="C665" s="62"/>
    </row>
    <row r="666" spans="3:3">
      <c r="C666" s="62"/>
    </row>
    <row r="667" spans="3:3">
      <c r="C667" s="62"/>
    </row>
    <row r="668" spans="3:3">
      <c r="C668" s="62"/>
    </row>
    <row r="669" spans="3:3">
      <c r="C669" s="62"/>
    </row>
    <row r="670" spans="3:3">
      <c r="C670" s="62"/>
    </row>
    <row r="671" spans="3:3">
      <c r="C671" s="62"/>
    </row>
    <row r="672" spans="3:3">
      <c r="C672" s="62"/>
    </row>
    <row r="673" spans="3:3">
      <c r="C673" s="62"/>
    </row>
    <row r="674" spans="3:3">
      <c r="C674" s="62"/>
    </row>
    <row r="675" spans="3:3">
      <c r="C675" s="62"/>
    </row>
    <row r="676" spans="3:3">
      <c r="C676" s="62"/>
    </row>
    <row r="677" spans="3:3">
      <c r="C677" s="62"/>
    </row>
    <row r="678" spans="3:3">
      <c r="C678" s="62"/>
    </row>
    <row r="679" spans="3:3">
      <c r="C679" s="62"/>
    </row>
    <row r="680" spans="3:3">
      <c r="C680" s="62"/>
    </row>
    <row r="681" spans="3:3">
      <c r="C681" s="62"/>
    </row>
    <row r="682" spans="3:3">
      <c r="C682" s="62"/>
    </row>
    <row r="683" spans="3:3">
      <c r="C683" s="62"/>
    </row>
    <row r="684" spans="3:3">
      <c r="C684" s="62"/>
    </row>
    <row r="685" spans="3:3">
      <c r="C685" s="62"/>
    </row>
    <row r="686" spans="3:3">
      <c r="C686" s="62"/>
    </row>
    <row r="687" spans="3:3">
      <c r="C687" s="62"/>
    </row>
    <row r="688" spans="3:3">
      <c r="C688" s="62"/>
    </row>
    <row r="689" spans="3:3">
      <c r="C689" s="62"/>
    </row>
    <row r="690" spans="3:3">
      <c r="C690" s="62"/>
    </row>
    <row r="691" spans="3:3">
      <c r="C691" s="62"/>
    </row>
    <row r="692" spans="3:3">
      <c r="C692" s="62"/>
    </row>
    <row r="693" spans="3:3">
      <c r="C693" s="62"/>
    </row>
    <row r="694" spans="3:3">
      <c r="C694" s="62"/>
    </row>
    <row r="695" spans="3:3">
      <c r="C695" s="62"/>
    </row>
    <row r="696" spans="3:3">
      <c r="C696" s="62"/>
    </row>
    <row r="697" spans="3:3">
      <c r="C697" s="62"/>
    </row>
    <row r="698" spans="3:3">
      <c r="C698" s="62"/>
    </row>
    <row r="699" spans="3:3">
      <c r="C699" s="62"/>
    </row>
    <row r="700" spans="3:3">
      <c r="C700" s="62"/>
    </row>
    <row r="701" spans="3:3">
      <c r="C701" s="62"/>
    </row>
    <row r="702" spans="3:3">
      <c r="C702" s="62"/>
    </row>
    <row r="703" spans="3:3">
      <c r="C703" s="62"/>
    </row>
    <row r="704" spans="3:3">
      <c r="C704" s="62"/>
    </row>
    <row r="705" spans="3:3">
      <c r="C705" s="62"/>
    </row>
    <row r="706" spans="3:3">
      <c r="C706" s="62"/>
    </row>
    <row r="707" spans="3:3">
      <c r="C707" s="62"/>
    </row>
    <row r="708" spans="3:3">
      <c r="C708" s="62"/>
    </row>
    <row r="709" spans="3:3">
      <c r="C709" s="62"/>
    </row>
    <row r="710" spans="3:3">
      <c r="C710" s="62"/>
    </row>
    <row r="711" spans="3:3">
      <c r="C711" s="62"/>
    </row>
    <row r="712" spans="3:3">
      <c r="C712" s="62"/>
    </row>
    <row r="713" spans="3:3">
      <c r="C713" s="62"/>
    </row>
    <row r="714" spans="3:3">
      <c r="C714" s="62"/>
    </row>
    <row r="715" spans="3:3">
      <c r="C715" s="62"/>
    </row>
    <row r="716" spans="3:3">
      <c r="C716" s="62"/>
    </row>
    <row r="717" spans="3:3">
      <c r="C717" s="62"/>
    </row>
    <row r="718" spans="3:3">
      <c r="C718" s="62"/>
    </row>
    <row r="719" spans="3:3">
      <c r="C719" s="62"/>
    </row>
    <row r="720" spans="3:3">
      <c r="C720" s="62"/>
    </row>
    <row r="721" spans="3:3">
      <c r="C721" s="62"/>
    </row>
    <row r="722" spans="3:3">
      <c r="C722" s="62"/>
    </row>
    <row r="723" spans="3:3">
      <c r="C723" s="62"/>
    </row>
    <row r="724" spans="3:3">
      <c r="C724" s="62"/>
    </row>
    <row r="725" spans="3:3">
      <c r="C725" s="62"/>
    </row>
    <row r="726" spans="3:3">
      <c r="C726" s="62"/>
    </row>
    <row r="727" spans="3:3">
      <c r="C727" s="62"/>
    </row>
    <row r="728" spans="3:3">
      <c r="C728" s="62"/>
    </row>
    <row r="729" spans="3:3">
      <c r="C729" s="62"/>
    </row>
    <row r="730" spans="3:3">
      <c r="C730" s="62"/>
    </row>
    <row r="731" spans="3:3">
      <c r="C731" s="62"/>
    </row>
    <row r="732" spans="3:3">
      <c r="C732" s="62"/>
    </row>
    <row r="733" spans="3:3">
      <c r="C733" s="62"/>
    </row>
    <row r="734" spans="3:3">
      <c r="C734" s="62"/>
    </row>
    <row r="735" spans="3:3">
      <c r="C735" s="62"/>
    </row>
    <row r="736" spans="3:3">
      <c r="C736" s="62"/>
    </row>
    <row r="737" spans="3:3">
      <c r="C737" s="62"/>
    </row>
    <row r="738" spans="3:3">
      <c r="C738" s="62"/>
    </row>
    <row r="739" spans="3:3">
      <c r="C739" s="62"/>
    </row>
    <row r="740" spans="3:3">
      <c r="C740" s="62"/>
    </row>
    <row r="741" spans="3:3">
      <c r="C741" s="62"/>
    </row>
    <row r="742" spans="3:3">
      <c r="C742" s="62"/>
    </row>
    <row r="743" spans="3:3">
      <c r="C743" s="62"/>
    </row>
    <row r="744" spans="3:3">
      <c r="C744" s="62"/>
    </row>
    <row r="745" spans="3:3">
      <c r="C745" s="62"/>
    </row>
    <row r="746" spans="3:3">
      <c r="C746" s="62"/>
    </row>
    <row r="747" spans="3:3">
      <c r="C747" s="62"/>
    </row>
    <row r="748" spans="3:3">
      <c r="C748" s="62"/>
    </row>
    <row r="749" spans="3:3">
      <c r="C749" s="62"/>
    </row>
    <row r="750" spans="3:3">
      <c r="C750" s="62"/>
    </row>
    <row r="751" spans="3:3">
      <c r="C751" s="62"/>
    </row>
    <row r="752" spans="3:3">
      <c r="C752" s="62"/>
    </row>
    <row r="753" spans="3:3">
      <c r="C753" s="62"/>
    </row>
    <row r="754" spans="3:3">
      <c r="C754" s="62"/>
    </row>
    <row r="755" spans="3:3">
      <c r="C755" s="62"/>
    </row>
    <row r="756" spans="3:3">
      <c r="C756" s="62"/>
    </row>
    <row r="757" spans="3:3">
      <c r="C757" s="62"/>
    </row>
    <row r="758" spans="3:3">
      <c r="C758" s="62"/>
    </row>
    <row r="759" spans="3:3">
      <c r="C759" s="62"/>
    </row>
    <row r="760" spans="3:3">
      <c r="C760" s="62"/>
    </row>
    <row r="761" spans="3:3">
      <c r="C761" s="62"/>
    </row>
    <row r="762" spans="3:3">
      <c r="C762" s="62"/>
    </row>
    <row r="763" spans="3:3">
      <c r="C763" s="62"/>
    </row>
    <row r="764" spans="3:3">
      <c r="C764" s="62"/>
    </row>
    <row r="765" spans="3:3">
      <c r="C765" s="62"/>
    </row>
    <row r="766" spans="3:3">
      <c r="C766" s="62"/>
    </row>
    <row r="767" spans="3:3">
      <c r="C767" s="62"/>
    </row>
    <row r="768" spans="3:3">
      <c r="C768" s="62"/>
    </row>
    <row r="769" spans="3:3">
      <c r="C769" s="62"/>
    </row>
    <row r="770" spans="3:3">
      <c r="C770" s="62"/>
    </row>
    <row r="771" spans="3:3">
      <c r="C771" s="62"/>
    </row>
    <row r="772" spans="3:3">
      <c r="C772" s="62"/>
    </row>
    <row r="773" spans="3:3">
      <c r="C773" s="62"/>
    </row>
    <row r="774" spans="3:3">
      <c r="C774" s="62"/>
    </row>
    <row r="775" spans="3:3">
      <c r="C775" s="62"/>
    </row>
    <row r="776" spans="3:3">
      <c r="C776" s="62"/>
    </row>
    <row r="777" spans="3:3">
      <c r="C777" s="62"/>
    </row>
    <row r="778" spans="3:3">
      <c r="C778" s="62"/>
    </row>
    <row r="779" spans="3:3">
      <c r="C779" s="62"/>
    </row>
    <row r="780" spans="3:3">
      <c r="C780" s="62"/>
    </row>
    <row r="781" spans="3:3">
      <c r="C781" s="62"/>
    </row>
    <row r="782" spans="3:3">
      <c r="C782" s="62"/>
    </row>
    <row r="783" spans="3:3">
      <c r="C783" s="62"/>
    </row>
    <row r="784" spans="3:3">
      <c r="C784" s="62"/>
    </row>
    <row r="785" spans="3:3">
      <c r="C785" s="62"/>
    </row>
    <row r="786" spans="3:3">
      <c r="C786" s="62"/>
    </row>
    <row r="787" spans="3:3">
      <c r="C787" s="62"/>
    </row>
    <row r="788" spans="3:3">
      <c r="C788" s="62"/>
    </row>
    <row r="789" spans="3:3">
      <c r="C789" s="62"/>
    </row>
    <row r="790" spans="3:3">
      <c r="C790" s="62"/>
    </row>
    <row r="791" spans="3:3">
      <c r="C791" s="62"/>
    </row>
    <row r="792" spans="3:3">
      <c r="C792" s="62"/>
    </row>
    <row r="793" spans="3:3">
      <c r="C793" s="62"/>
    </row>
    <row r="794" spans="3:3">
      <c r="C794" s="62"/>
    </row>
    <row r="795" spans="3:3">
      <c r="C795" s="62"/>
    </row>
    <row r="796" spans="3:3">
      <c r="C796" s="62"/>
    </row>
    <row r="797" spans="3:3">
      <c r="C797" s="62"/>
    </row>
    <row r="798" spans="3:3">
      <c r="C798" s="62"/>
    </row>
    <row r="799" spans="3:3">
      <c r="C799" s="62"/>
    </row>
    <row r="800" spans="3:3">
      <c r="C800" s="62"/>
    </row>
    <row r="801" spans="3:3">
      <c r="C801" s="62"/>
    </row>
    <row r="802" spans="3:3">
      <c r="C802" s="62"/>
    </row>
    <row r="803" spans="3:3">
      <c r="C803" s="62"/>
    </row>
    <row r="804" spans="3:3">
      <c r="C804" s="62"/>
    </row>
    <row r="805" spans="3:3">
      <c r="C805" s="62"/>
    </row>
    <row r="806" spans="3:3">
      <c r="C806" s="62"/>
    </row>
    <row r="807" spans="3:3">
      <c r="C807" s="62"/>
    </row>
    <row r="808" spans="3:3">
      <c r="C808" s="62"/>
    </row>
    <row r="809" spans="3:3">
      <c r="C809" s="62"/>
    </row>
    <row r="810" spans="3:3">
      <c r="C810" s="62"/>
    </row>
    <row r="811" spans="3:3">
      <c r="C811" s="62"/>
    </row>
    <row r="812" spans="3:3">
      <c r="C812" s="62"/>
    </row>
    <row r="813" spans="3:3">
      <c r="C813" s="62"/>
    </row>
    <row r="814" spans="3:3">
      <c r="C814" s="62"/>
    </row>
    <row r="815" spans="3:3">
      <c r="C815" s="62"/>
    </row>
    <row r="816" spans="3:3">
      <c r="C816" s="62"/>
    </row>
    <row r="817" spans="3:3">
      <c r="C817" s="62"/>
    </row>
    <row r="818" spans="3:3">
      <c r="C818" s="62"/>
    </row>
    <row r="819" spans="3:3">
      <c r="C819" s="62"/>
    </row>
    <row r="820" spans="3:3">
      <c r="C820" s="62"/>
    </row>
    <row r="821" spans="3:3">
      <c r="C821" s="62"/>
    </row>
    <row r="822" spans="3:3">
      <c r="C822" s="62"/>
    </row>
    <row r="823" spans="3:3">
      <c r="C823" s="62"/>
    </row>
    <row r="824" spans="3:3">
      <c r="C824" s="62"/>
    </row>
    <row r="825" spans="3:3">
      <c r="C825" s="62"/>
    </row>
    <row r="826" spans="3:3">
      <c r="C826" s="62"/>
    </row>
    <row r="827" spans="3:3">
      <c r="C827" s="62"/>
    </row>
    <row r="828" spans="3:3">
      <c r="C828" s="62"/>
    </row>
    <row r="829" spans="3:3">
      <c r="C829" s="62"/>
    </row>
    <row r="830" spans="3:3">
      <c r="C830" s="62"/>
    </row>
    <row r="831" spans="3:3">
      <c r="C831" s="62"/>
    </row>
    <row r="832" spans="3:3">
      <c r="C832" s="62"/>
    </row>
    <row r="833" spans="3:3">
      <c r="C833" s="62"/>
    </row>
    <row r="834" spans="3:3">
      <c r="C834" s="62"/>
    </row>
    <row r="835" spans="3:3">
      <c r="C835" s="62"/>
    </row>
    <row r="836" spans="3:3">
      <c r="C836" s="62"/>
    </row>
    <row r="837" spans="3:3">
      <c r="C837" s="62"/>
    </row>
    <row r="838" spans="3:3">
      <c r="C838" s="62"/>
    </row>
    <row r="839" spans="3:3">
      <c r="C839" s="62"/>
    </row>
    <row r="840" spans="3:3">
      <c r="C840" s="62"/>
    </row>
    <row r="841" spans="3:3">
      <c r="C841" s="62"/>
    </row>
    <row r="842" spans="3:3">
      <c r="C842" s="62"/>
    </row>
    <row r="843" spans="3:3">
      <c r="C843" s="62"/>
    </row>
    <row r="844" spans="3:3">
      <c r="C844" s="62"/>
    </row>
    <row r="845" spans="3:3">
      <c r="C845" s="62"/>
    </row>
    <row r="846" spans="3:3">
      <c r="C846" s="62"/>
    </row>
    <row r="847" spans="3:3">
      <c r="C847" s="62"/>
    </row>
    <row r="848" spans="3:3">
      <c r="C848" s="62"/>
    </row>
    <row r="849" spans="3:3">
      <c r="C849" s="62"/>
    </row>
    <row r="850" spans="3:3">
      <c r="C850" s="62"/>
    </row>
    <row r="851" spans="3:3">
      <c r="C851" s="62"/>
    </row>
    <row r="852" spans="3:3">
      <c r="C852" s="62"/>
    </row>
    <row r="853" spans="3:3">
      <c r="C853" s="62"/>
    </row>
    <row r="854" spans="3:3">
      <c r="C854" s="62"/>
    </row>
    <row r="855" spans="3:3">
      <c r="C855" s="62"/>
    </row>
    <row r="856" spans="3:3">
      <c r="C856" s="62"/>
    </row>
    <row r="857" spans="3:3">
      <c r="C857" s="62"/>
    </row>
    <row r="858" spans="3:3">
      <c r="C858" s="62"/>
    </row>
    <row r="859" spans="3:3">
      <c r="C859" s="62"/>
    </row>
    <row r="860" spans="3:3">
      <c r="C860" s="62"/>
    </row>
    <row r="861" spans="3:3">
      <c r="C861" s="62"/>
    </row>
    <row r="862" spans="3:3">
      <c r="C862" s="62"/>
    </row>
    <row r="863" spans="3:3">
      <c r="C863" s="62"/>
    </row>
    <row r="864" spans="3:3">
      <c r="C864" s="62"/>
    </row>
    <row r="865" spans="3:3">
      <c r="C865" s="62"/>
    </row>
    <row r="866" spans="3:3">
      <c r="C866" s="62"/>
    </row>
    <row r="867" spans="3:3">
      <c r="C867" s="62"/>
    </row>
    <row r="868" spans="3:3">
      <c r="C868" s="62"/>
    </row>
    <row r="869" spans="3:3">
      <c r="C869" s="62"/>
    </row>
    <row r="870" spans="3:3">
      <c r="C870" s="62"/>
    </row>
    <row r="871" spans="3:3">
      <c r="C871" s="62"/>
    </row>
    <row r="872" spans="3:3">
      <c r="C872" s="62"/>
    </row>
    <row r="873" spans="3:3">
      <c r="C873" s="62"/>
    </row>
    <row r="874" spans="3:3">
      <c r="C874" s="62"/>
    </row>
    <row r="875" spans="3:3">
      <c r="C875" s="62"/>
    </row>
    <row r="876" spans="3:3">
      <c r="C876" s="62"/>
    </row>
    <row r="877" spans="3:3">
      <c r="C877" s="62"/>
    </row>
    <row r="878" spans="3:3">
      <c r="C878" s="62"/>
    </row>
    <row r="879" spans="3:3">
      <c r="C879" s="62"/>
    </row>
    <row r="880" spans="3:3">
      <c r="C880" s="62"/>
    </row>
    <row r="881" spans="3:3">
      <c r="C881" s="62"/>
    </row>
    <row r="882" spans="3:3">
      <c r="C882" s="62"/>
    </row>
    <row r="883" spans="3:3">
      <c r="C883" s="62"/>
    </row>
    <row r="884" spans="3:3">
      <c r="C884" s="62"/>
    </row>
    <row r="885" spans="3:3">
      <c r="C885" s="62"/>
    </row>
    <row r="886" spans="3:3">
      <c r="C886" s="62"/>
    </row>
    <row r="887" spans="3:3">
      <c r="C887" s="62"/>
    </row>
    <row r="888" spans="3:3">
      <c r="C888" s="62"/>
    </row>
    <row r="889" spans="3:3">
      <c r="C889" s="62"/>
    </row>
    <row r="890" spans="3:3">
      <c r="C890" s="62"/>
    </row>
    <row r="891" spans="3:3">
      <c r="C891" s="62"/>
    </row>
    <row r="892" spans="3:3">
      <c r="C892" s="62"/>
    </row>
    <row r="893" spans="3:3">
      <c r="C893" s="62"/>
    </row>
    <row r="894" spans="3:3">
      <c r="C894" s="62"/>
    </row>
    <row r="895" spans="3:3">
      <c r="C895" s="62"/>
    </row>
    <row r="896" spans="3:3">
      <c r="C896" s="62"/>
    </row>
    <row r="897" spans="3:3">
      <c r="C897" s="62"/>
    </row>
    <row r="898" spans="3:3">
      <c r="C898" s="62"/>
    </row>
    <row r="899" spans="3:3">
      <c r="C899" s="62"/>
    </row>
    <row r="900" spans="3:3">
      <c r="C900" s="62"/>
    </row>
    <row r="901" spans="3:3">
      <c r="C901" s="62"/>
    </row>
    <row r="902" spans="3:3">
      <c r="C902" s="62"/>
    </row>
    <row r="903" spans="3:3">
      <c r="C903" s="62"/>
    </row>
    <row r="904" spans="3:3">
      <c r="C904" s="62"/>
    </row>
    <row r="905" spans="3:3">
      <c r="C905" s="62"/>
    </row>
    <row r="906" spans="3:3">
      <c r="C906" s="62"/>
    </row>
    <row r="907" spans="3:3">
      <c r="C907" s="62"/>
    </row>
    <row r="908" spans="3:3">
      <c r="C908" s="62"/>
    </row>
    <row r="909" spans="3:3">
      <c r="C909" s="62"/>
    </row>
    <row r="910" spans="3:3">
      <c r="C910" s="62"/>
    </row>
    <row r="911" spans="3:3">
      <c r="C911" s="62"/>
    </row>
    <row r="912" spans="3:3">
      <c r="C912" s="62"/>
    </row>
    <row r="913" spans="3:3">
      <c r="C913" s="62"/>
    </row>
    <row r="914" spans="3:3">
      <c r="C914" s="62"/>
    </row>
    <row r="915" spans="3:3">
      <c r="C915" s="62"/>
    </row>
    <row r="916" spans="3:3">
      <c r="C916" s="62"/>
    </row>
    <row r="917" spans="3:3">
      <c r="C917" s="62"/>
    </row>
    <row r="918" spans="3:3">
      <c r="C918" s="62"/>
    </row>
    <row r="919" spans="3:3">
      <c r="C919" s="62"/>
    </row>
    <row r="920" spans="3:3">
      <c r="C920" s="62"/>
    </row>
    <row r="921" spans="3:3">
      <c r="C921" s="62"/>
    </row>
    <row r="922" spans="3:3">
      <c r="C922" s="62"/>
    </row>
    <row r="923" spans="3:3">
      <c r="C923" s="62"/>
    </row>
    <row r="924" spans="3:3">
      <c r="C924" s="62"/>
    </row>
    <row r="925" spans="3:3">
      <c r="C925" s="62"/>
    </row>
    <row r="926" spans="3:3">
      <c r="C926" s="62"/>
    </row>
    <row r="927" spans="3:3">
      <c r="C927" s="62"/>
    </row>
    <row r="928" spans="3:3">
      <c r="C928" s="62"/>
    </row>
    <row r="929" spans="3:3">
      <c r="C929" s="62"/>
    </row>
    <row r="930" spans="3:3">
      <c r="C930" s="62"/>
    </row>
    <row r="931" spans="3:3">
      <c r="C931" s="62"/>
    </row>
    <row r="932" spans="3:3">
      <c r="C932" s="62"/>
    </row>
    <row r="933" spans="3:3">
      <c r="C933" s="62"/>
    </row>
    <row r="934" spans="3:3">
      <c r="C934" s="62"/>
    </row>
    <row r="935" spans="3:3">
      <c r="C935" s="62"/>
    </row>
    <row r="936" spans="3:3">
      <c r="C936" s="62"/>
    </row>
    <row r="937" spans="3:3">
      <c r="C937" s="62"/>
    </row>
    <row r="938" spans="3:3">
      <c r="C938" s="62"/>
    </row>
    <row r="939" spans="3:3">
      <c r="C939" s="62"/>
    </row>
    <row r="940" spans="3:3">
      <c r="C940" s="62"/>
    </row>
    <row r="941" spans="3:3">
      <c r="C941" s="62"/>
    </row>
    <row r="942" spans="3:3">
      <c r="C942" s="62"/>
    </row>
    <row r="943" spans="3:3">
      <c r="C943" s="62"/>
    </row>
    <row r="944" spans="3:3">
      <c r="C944" s="62"/>
    </row>
    <row r="945" spans="3:3">
      <c r="C945" s="62"/>
    </row>
    <row r="946" spans="3:3">
      <c r="C946" s="62"/>
    </row>
    <row r="947" spans="3:3">
      <c r="C947" s="62"/>
    </row>
    <row r="948" spans="3:3">
      <c r="C948" s="62"/>
    </row>
    <row r="949" spans="3:3">
      <c r="C949" s="62"/>
    </row>
    <row r="950" spans="3:3">
      <c r="C950" s="62"/>
    </row>
    <row r="951" spans="3:3">
      <c r="C951" s="62"/>
    </row>
    <row r="952" spans="3:3">
      <c r="C952" s="62"/>
    </row>
    <row r="953" spans="3:3">
      <c r="C953" s="62"/>
    </row>
    <row r="954" spans="3:3">
      <c r="C954" s="62"/>
    </row>
    <row r="955" spans="3:3">
      <c r="C955" s="62"/>
    </row>
    <row r="956" spans="3:3">
      <c r="C956" s="62"/>
    </row>
    <row r="957" spans="3:3">
      <c r="C957" s="62"/>
    </row>
    <row r="958" spans="3:3">
      <c r="C958" s="62"/>
    </row>
    <row r="959" spans="3:3">
      <c r="C959" s="62"/>
    </row>
    <row r="960" spans="3:3">
      <c r="C960" s="62"/>
    </row>
    <row r="961" spans="3:3">
      <c r="C961" s="62"/>
    </row>
    <row r="962" spans="3:3">
      <c r="C962" s="62"/>
    </row>
    <row r="963" spans="3:3">
      <c r="C963" s="62"/>
    </row>
    <row r="964" spans="3:3">
      <c r="C964" s="62"/>
    </row>
    <row r="965" spans="3:3">
      <c r="C965" s="62"/>
    </row>
    <row r="966" spans="3:3">
      <c r="C966" s="62"/>
    </row>
    <row r="967" spans="3:3">
      <c r="C967" s="62"/>
    </row>
    <row r="968" spans="3:3">
      <c r="C968" s="62"/>
    </row>
    <row r="969" spans="3:3">
      <c r="C969" s="62"/>
    </row>
    <row r="970" spans="3:3">
      <c r="C970" s="62"/>
    </row>
    <row r="971" spans="3:3">
      <c r="C971" s="62"/>
    </row>
    <row r="972" spans="3:3">
      <c r="C972" s="62"/>
    </row>
    <row r="973" spans="3:3">
      <c r="C973" s="62"/>
    </row>
    <row r="974" spans="3:3">
      <c r="C974" s="62"/>
    </row>
    <row r="975" spans="3:3">
      <c r="C975" s="62"/>
    </row>
    <row r="976" spans="3:3">
      <c r="C976" s="62"/>
    </row>
    <row r="977" spans="3:3">
      <c r="C977" s="62"/>
    </row>
    <row r="978" spans="3:3">
      <c r="C978" s="62"/>
    </row>
    <row r="979" spans="3:3">
      <c r="C979" s="62"/>
    </row>
    <row r="980" spans="3:3">
      <c r="C980" s="62"/>
    </row>
    <row r="981" spans="3:3">
      <c r="C981" s="62"/>
    </row>
    <row r="982" spans="3:3">
      <c r="C982" s="62"/>
    </row>
    <row r="983" spans="3:3">
      <c r="C983" s="62"/>
    </row>
    <row r="984" spans="3:3">
      <c r="C984" s="62"/>
    </row>
    <row r="985" spans="3:3">
      <c r="C985" s="62"/>
    </row>
    <row r="986" spans="3:3">
      <c r="C986" s="62"/>
    </row>
    <row r="987" spans="3:3">
      <c r="C987" s="62"/>
    </row>
    <row r="988" spans="3:3">
      <c r="C988" s="62"/>
    </row>
    <row r="989" spans="3:3">
      <c r="C989" s="62"/>
    </row>
    <row r="990" spans="3:3">
      <c r="C990" s="62"/>
    </row>
    <row r="991" spans="3:3">
      <c r="C991" s="62"/>
    </row>
    <row r="992" spans="3:3">
      <c r="C992" s="62"/>
    </row>
    <row r="993" spans="3:3">
      <c r="C993" s="62"/>
    </row>
    <row r="994" spans="3:3">
      <c r="C994" s="62"/>
    </row>
    <row r="995" spans="3:3">
      <c r="C995" s="62"/>
    </row>
    <row r="996" spans="3:3">
      <c r="C996" s="62"/>
    </row>
    <row r="997" spans="3:3">
      <c r="C997" s="62"/>
    </row>
    <row r="998" spans="3:3">
      <c r="C998" s="62"/>
    </row>
    <row r="999" spans="3:3">
      <c r="C999" s="62"/>
    </row>
    <row r="1000" spans="3:3">
      <c r="C1000" s="62"/>
    </row>
    <row r="1001" spans="3:3">
      <c r="C1001" s="62"/>
    </row>
    <row r="1002" spans="3:3">
      <c r="C1002" s="62"/>
    </row>
    <row r="1003" spans="3:3">
      <c r="C1003" s="62"/>
    </row>
    <row r="1004" spans="3:3">
      <c r="C1004" s="62"/>
    </row>
    <row r="1005" spans="3:3">
      <c r="C1005" s="62"/>
    </row>
    <row r="1006" spans="3:3">
      <c r="C1006" s="62"/>
    </row>
    <row r="1007" spans="3:3">
      <c r="C1007" s="62"/>
    </row>
    <row r="1008" spans="3:3">
      <c r="C1008" s="62"/>
    </row>
    <row r="1009" spans="3:3">
      <c r="C1009" s="62"/>
    </row>
    <row r="1010" spans="3:3">
      <c r="C1010" s="62"/>
    </row>
    <row r="1011" spans="3:3">
      <c r="C1011" s="62"/>
    </row>
    <row r="1012" spans="3:3">
      <c r="C1012" s="62"/>
    </row>
    <row r="1013" spans="3:3">
      <c r="C1013" s="6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9:J98"/>
  <sheetViews>
    <sheetView topLeftCell="A52" workbookViewId="0">
      <selection activeCell="A79" sqref="A79"/>
    </sheetView>
  </sheetViews>
  <sheetFormatPr defaultColWidth="12.6640625" defaultRowHeight="15.75" customHeight="1"/>
  <cols>
    <col min="1" max="1" width="23.109375" style="24" customWidth="1"/>
    <col min="2" max="2" width="26.77734375" style="24" customWidth="1"/>
    <col min="3" max="4" width="17.88671875" style="24" customWidth="1"/>
    <col min="5" max="16384" width="12.6640625" style="24"/>
  </cols>
  <sheetData>
    <row r="9" spans="1:9" ht="13.2">
      <c r="A9" s="44" t="s">
        <v>560</v>
      </c>
      <c r="B9" s="44"/>
      <c r="C9" s="44"/>
      <c r="D9" s="44"/>
      <c r="E9" s="44"/>
      <c r="F9" s="44"/>
      <c r="G9" s="44"/>
      <c r="H9" s="44"/>
      <c r="I9" s="44"/>
    </row>
    <row r="10" spans="1:9" ht="13.2">
      <c r="A10" s="25"/>
    </row>
    <row r="11" spans="1:9" ht="13.2">
      <c r="A11" s="25" t="s">
        <v>268</v>
      </c>
    </row>
    <row r="12" spans="1:9" ht="13.2">
      <c r="A12" s="25" t="s">
        <v>269</v>
      </c>
    </row>
    <row r="13" spans="1:9" ht="13.2">
      <c r="A13" s="25"/>
    </row>
    <row r="14" spans="1:9" ht="13.2">
      <c r="A14" s="25" t="s">
        <v>270</v>
      </c>
    </row>
    <row r="15" spans="1:9" ht="13.2">
      <c r="A15" s="25" t="s">
        <v>271</v>
      </c>
    </row>
    <row r="16" spans="1:9" ht="13.2">
      <c r="A16" s="25" t="s">
        <v>272</v>
      </c>
    </row>
    <row r="17" spans="1:10" ht="13.2">
      <c r="A17" s="25"/>
    </row>
    <row r="18" spans="1:10" ht="13.2">
      <c r="A18" s="25" t="s">
        <v>555</v>
      </c>
    </row>
    <row r="19" spans="1:10" ht="13.2">
      <c r="A19" s="45" t="s">
        <v>556</v>
      </c>
    </row>
    <row r="20" spans="1:10" ht="13.2">
      <c r="A20" s="46"/>
    </row>
    <row r="21" spans="1:10" ht="13.8" thickBot="1">
      <c r="A21" s="25"/>
    </row>
    <row r="22" spans="1:10" ht="13.2">
      <c r="A22" s="254" t="s">
        <v>273</v>
      </c>
      <c r="B22" s="47"/>
      <c r="C22" s="47"/>
      <c r="D22" s="47"/>
      <c r="E22" s="48" t="s">
        <v>255</v>
      </c>
      <c r="F22" s="48" t="s">
        <v>256</v>
      </c>
      <c r="G22" s="49" t="s">
        <v>257</v>
      </c>
      <c r="J22" s="50"/>
    </row>
    <row r="23" spans="1:10" ht="13.2">
      <c r="A23" s="255"/>
      <c r="B23" s="249" t="s">
        <v>274</v>
      </c>
      <c r="C23" s="250"/>
      <c r="D23" s="251"/>
      <c r="E23" s="51"/>
      <c r="F23" s="51"/>
      <c r="G23" s="52"/>
    </row>
    <row r="24" spans="1:10" ht="13.2">
      <c r="A24" s="255"/>
      <c r="B24" s="249" t="s">
        <v>275</v>
      </c>
      <c r="C24" s="250"/>
      <c r="D24" s="251"/>
      <c r="E24" s="51"/>
      <c r="F24" s="51"/>
      <c r="G24" s="52"/>
    </row>
    <row r="25" spans="1:10" ht="13.2">
      <c r="A25" s="255"/>
      <c r="B25" s="249" t="s">
        <v>276</v>
      </c>
      <c r="C25" s="250"/>
      <c r="D25" s="251"/>
      <c r="E25" s="51"/>
      <c r="F25" s="51"/>
      <c r="G25" s="52"/>
    </row>
    <row r="26" spans="1:10" ht="13.2">
      <c r="A26" s="255"/>
      <c r="B26" s="249" t="s">
        <v>277</v>
      </c>
      <c r="C26" s="250"/>
      <c r="D26" s="251"/>
      <c r="E26" s="51"/>
      <c r="F26" s="51"/>
      <c r="G26" s="52"/>
    </row>
    <row r="27" spans="1:10" ht="13.2">
      <c r="A27" s="256" t="s">
        <v>278</v>
      </c>
      <c r="B27" s="252"/>
      <c r="C27" s="253"/>
      <c r="D27" s="253"/>
      <c r="E27" s="53"/>
      <c r="F27" s="53"/>
      <c r="G27" s="54"/>
    </row>
    <row r="28" spans="1:10" ht="13.2">
      <c r="A28" s="255"/>
      <c r="B28" s="249" t="s">
        <v>279</v>
      </c>
      <c r="C28" s="250"/>
      <c r="D28" s="251"/>
      <c r="E28" s="51"/>
      <c r="F28" s="51"/>
      <c r="G28" s="52"/>
    </row>
    <row r="29" spans="1:10" ht="13.2">
      <c r="A29" s="255"/>
      <c r="B29" s="249" t="s">
        <v>280</v>
      </c>
      <c r="C29" s="250"/>
      <c r="D29" s="251"/>
      <c r="E29" s="51"/>
      <c r="F29" s="51"/>
      <c r="G29" s="52"/>
    </row>
    <row r="30" spans="1:10" ht="13.2">
      <c r="A30" s="255"/>
      <c r="B30" s="249" t="s">
        <v>281</v>
      </c>
      <c r="C30" s="250"/>
      <c r="D30" s="251"/>
      <c r="E30" s="51"/>
      <c r="F30" s="51"/>
      <c r="G30" s="52"/>
    </row>
    <row r="31" spans="1:10" ht="13.2">
      <c r="A31" s="255"/>
      <c r="B31" s="249" t="s">
        <v>282</v>
      </c>
      <c r="C31" s="250"/>
      <c r="D31" s="251"/>
      <c r="E31" s="51"/>
      <c r="F31" s="51"/>
      <c r="G31" s="52"/>
    </row>
    <row r="32" spans="1:10" ht="13.2">
      <c r="A32" s="255"/>
      <c r="B32" s="249" t="s">
        <v>283</v>
      </c>
      <c r="C32" s="250"/>
      <c r="D32" s="251"/>
      <c r="E32" s="51"/>
      <c r="F32" s="51"/>
      <c r="G32" s="52"/>
    </row>
    <row r="33" spans="1:7" ht="13.2">
      <c r="A33" s="256" t="s">
        <v>284</v>
      </c>
      <c r="B33" s="252"/>
      <c r="C33" s="253"/>
      <c r="D33" s="253"/>
      <c r="E33" s="53"/>
      <c r="F33" s="53"/>
      <c r="G33" s="54"/>
    </row>
    <row r="34" spans="1:7" ht="13.2">
      <c r="A34" s="255"/>
      <c r="B34" s="249" t="s">
        <v>285</v>
      </c>
      <c r="C34" s="250"/>
      <c r="D34" s="251"/>
      <c r="E34" s="51"/>
      <c r="F34" s="51"/>
      <c r="G34" s="52"/>
    </row>
    <row r="35" spans="1:7" ht="13.2">
      <c r="A35" s="255"/>
      <c r="B35" s="249" t="s">
        <v>286</v>
      </c>
      <c r="C35" s="250"/>
      <c r="D35" s="251"/>
      <c r="E35" s="51"/>
      <c r="F35" s="51"/>
      <c r="G35" s="52"/>
    </row>
    <row r="36" spans="1:7" ht="13.2">
      <c r="A36" s="255"/>
      <c r="B36" s="249" t="s">
        <v>287</v>
      </c>
      <c r="C36" s="250"/>
      <c r="D36" s="251"/>
      <c r="E36" s="51"/>
      <c r="F36" s="51"/>
      <c r="G36" s="52"/>
    </row>
    <row r="37" spans="1:7" ht="13.2">
      <c r="A37" s="255"/>
      <c r="B37" s="249" t="s">
        <v>288</v>
      </c>
      <c r="C37" s="250"/>
      <c r="D37" s="251"/>
      <c r="E37" s="51"/>
      <c r="F37" s="51"/>
      <c r="G37" s="52"/>
    </row>
    <row r="38" spans="1:7" ht="13.2">
      <c r="A38" s="255"/>
      <c r="B38" s="249" t="s">
        <v>289</v>
      </c>
      <c r="C38" s="250"/>
      <c r="D38" s="251"/>
      <c r="E38" s="51"/>
      <c r="F38" s="51"/>
      <c r="G38" s="52"/>
    </row>
    <row r="39" spans="1:7" ht="13.2">
      <c r="A39" s="256" t="s">
        <v>290</v>
      </c>
      <c r="B39" s="252"/>
      <c r="C39" s="253"/>
      <c r="D39" s="253"/>
      <c r="E39" s="53"/>
      <c r="F39" s="53"/>
      <c r="G39" s="54"/>
    </row>
    <row r="40" spans="1:7" ht="13.2">
      <c r="A40" s="255"/>
      <c r="B40" s="249" t="s">
        <v>291</v>
      </c>
      <c r="C40" s="250"/>
      <c r="D40" s="251"/>
      <c r="E40" s="51"/>
      <c r="F40" s="51"/>
      <c r="G40" s="52"/>
    </row>
    <row r="41" spans="1:7" ht="13.2">
      <c r="A41" s="255"/>
      <c r="B41" s="249" t="s">
        <v>292</v>
      </c>
      <c r="C41" s="250"/>
      <c r="D41" s="251"/>
      <c r="E41" s="51"/>
      <c r="F41" s="51"/>
      <c r="G41" s="52"/>
    </row>
    <row r="42" spans="1:7" ht="13.2">
      <c r="A42" s="256" t="s">
        <v>293</v>
      </c>
      <c r="B42" s="252"/>
      <c r="C42" s="253"/>
      <c r="D42" s="253"/>
      <c r="E42" s="53"/>
      <c r="F42" s="53"/>
      <c r="G42" s="54"/>
    </row>
    <row r="43" spans="1:7" ht="13.2">
      <c r="A43" s="255"/>
      <c r="B43" s="249" t="s">
        <v>294</v>
      </c>
      <c r="C43" s="250"/>
      <c r="D43" s="251"/>
      <c r="E43" s="51"/>
      <c r="F43" s="51"/>
      <c r="G43" s="52"/>
    </row>
    <row r="44" spans="1:7" ht="13.2">
      <c r="A44" s="255"/>
      <c r="B44" s="249" t="s">
        <v>289</v>
      </c>
      <c r="C44" s="250"/>
      <c r="D44" s="251"/>
      <c r="E44" s="51"/>
      <c r="F44" s="51"/>
      <c r="G44" s="52"/>
    </row>
    <row r="45" spans="1:7" ht="13.2">
      <c r="A45" s="255"/>
      <c r="B45" s="249" t="s">
        <v>295</v>
      </c>
      <c r="C45" s="250"/>
      <c r="D45" s="251"/>
      <c r="E45" s="51"/>
      <c r="F45" s="51"/>
      <c r="G45" s="52"/>
    </row>
    <row r="46" spans="1:7" ht="13.2">
      <c r="A46" s="255"/>
      <c r="B46" s="249" t="s">
        <v>296</v>
      </c>
      <c r="C46" s="250"/>
      <c r="D46" s="251"/>
      <c r="E46" s="51"/>
      <c r="F46" s="51"/>
      <c r="G46" s="52"/>
    </row>
    <row r="47" spans="1:7" ht="13.2">
      <c r="A47" s="256" t="s">
        <v>297</v>
      </c>
      <c r="B47" s="252"/>
      <c r="C47" s="253"/>
      <c r="D47" s="253"/>
      <c r="E47" s="53"/>
      <c r="F47" s="53"/>
      <c r="G47" s="54"/>
    </row>
    <row r="48" spans="1:7" ht="13.2">
      <c r="A48" s="255"/>
      <c r="B48" s="249" t="s">
        <v>298</v>
      </c>
      <c r="C48" s="250"/>
      <c r="D48" s="251"/>
      <c r="E48" s="51"/>
      <c r="F48" s="51"/>
      <c r="G48" s="52"/>
    </row>
    <row r="49" spans="1:9" ht="13.2">
      <c r="A49" s="255"/>
      <c r="B49" s="249" t="s">
        <v>299</v>
      </c>
      <c r="C49" s="250"/>
      <c r="D49" s="251"/>
      <c r="E49" s="51"/>
      <c r="F49" s="51"/>
      <c r="G49" s="52"/>
    </row>
    <row r="50" spans="1:9" ht="13.2">
      <c r="A50" s="255"/>
      <c r="B50" s="249" t="s">
        <v>300</v>
      </c>
      <c r="C50" s="250"/>
      <c r="D50" s="251"/>
      <c r="E50" s="51"/>
      <c r="F50" s="51"/>
      <c r="G50" s="52"/>
    </row>
    <row r="51" spans="1:9" ht="13.2">
      <c r="A51" s="256" t="s">
        <v>301</v>
      </c>
      <c r="B51" s="252"/>
      <c r="C51" s="253"/>
      <c r="D51" s="253"/>
      <c r="E51" s="53"/>
      <c r="F51" s="53"/>
      <c r="G51" s="54"/>
    </row>
    <row r="52" spans="1:9" ht="12.6" customHeight="1">
      <c r="A52" s="255"/>
      <c r="B52" s="249" t="s">
        <v>302</v>
      </c>
      <c r="C52" s="250"/>
      <c r="D52" s="251"/>
      <c r="E52" s="51"/>
      <c r="F52" s="51"/>
      <c r="G52" s="52"/>
    </row>
    <row r="53" spans="1:9" ht="13.8" thickBot="1">
      <c r="A53" s="260"/>
      <c r="B53" s="257" t="s">
        <v>303</v>
      </c>
      <c r="C53" s="258"/>
      <c r="D53" s="259"/>
      <c r="E53" s="55"/>
      <c r="F53" s="55"/>
      <c r="G53" s="56"/>
    </row>
    <row r="54" spans="1:9" ht="13.2">
      <c r="A54" s="25"/>
    </row>
    <row r="55" spans="1:9" ht="13.2">
      <c r="A55" s="25"/>
    </row>
    <row r="56" spans="1:9" ht="13.2">
      <c r="B56" s="57" t="s">
        <v>304</v>
      </c>
      <c r="C56" s="58" t="s">
        <v>305</v>
      </c>
      <c r="D56" s="58"/>
      <c r="E56" s="58"/>
      <c r="F56" s="58"/>
    </row>
    <row r="58" spans="1:9" ht="13.2">
      <c r="A58" s="44" t="s">
        <v>559</v>
      </c>
      <c r="B58" s="44"/>
      <c r="C58" s="44"/>
      <c r="D58" s="44"/>
      <c r="E58" s="44"/>
      <c r="F58" s="44"/>
      <c r="G58" s="44"/>
      <c r="H58" s="44"/>
      <c r="I58" s="44"/>
    </row>
    <row r="60" spans="1:9" ht="13.2">
      <c r="A60" s="27" t="s">
        <v>501</v>
      </c>
      <c r="B60" s="25" t="s">
        <v>502</v>
      </c>
    </row>
    <row r="61" spans="1:9" ht="13.2">
      <c r="B61" s="25" t="s">
        <v>503</v>
      </c>
    </row>
    <row r="62" spans="1:9" ht="13.2">
      <c r="B62" s="25"/>
    </row>
    <row r="63" spans="1:9" ht="13.2">
      <c r="B63" s="25" t="s">
        <v>504</v>
      </c>
    </row>
    <row r="64" spans="1:9" ht="13.2">
      <c r="C64" s="28" t="s">
        <v>505</v>
      </c>
    </row>
    <row r="65" spans="1:8" ht="13.2">
      <c r="C65" s="28" t="s">
        <v>506</v>
      </c>
    </row>
    <row r="66" spans="1:8" ht="13.2">
      <c r="C66" s="28" t="s">
        <v>507</v>
      </c>
    </row>
    <row r="67" spans="1:8" ht="13.2">
      <c r="C67" s="28" t="s">
        <v>508</v>
      </c>
    </row>
    <row r="68" spans="1:8" ht="13.2">
      <c r="C68" s="28" t="s">
        <v>509</v>
      </c>
    </row>
    <row r="70" spans="1:8" ht="13.2">
      <c r="B70" s="25" t="s">
        <v>510</v>
      </c>
    </row>
    <row r="71" spans="1:8" ht="13.2">
      <c r="B71" s="25" t="s">
        <v>511</v>
      </c>
    </row>
    <row r="72" spans="1:8" ht="13.2">
      <c r="B72" s="25"/>
    </row>
    <row r="73" spans="1:8" ht="13.2">
      <c r="B73" s="25" t="s">
        <v>512</v>
      </c>
    </row>
    <row r="75" spans="1:8" ht="13.2">
      <c r="C75" s="28" t="s">
        <v>513</v>
      </c>
      <c r="D75" s="28"/>
      <c r="E75" s="28"/>
      <c r="F75" s="28"/>
      <c r="G75" s="28"/>
      <c r="H75" s="465"/>
    </row>
    <row r="76" spans="1:8" ht="13.2">
      <c r="C76" s="28" t="s">
        <v>514</v>
      </c>
      <c r="D76" s="28"/>
      <c r="E76" s="28"/>
      <c r="F76" s="28"/>
      <c r="G76" s="28"/>
      <c r="H76" s="465"/>
    </row>
    <row r="79" spans="1:8" ht="15.75" customHeight="1">
      <c r="A79" s="27" t="s">
        <v>557</v>
      </c>
      <c r="C79" s="59" t="s">
        <v>255</v>
      </c>
      <c r="D79" s="59" t="s">
        <v>256</v>
      </c>
      <c r="E79" s="59" t="s">
        <v>257</v>
      </c>
    </row>
    <row r="80" spans="1:8" ht="13.2">
      <c r="A80" s="42"/>
      <c r="B80" s="25"/>
    </row>
    <row r="81" spans="2:5" ht="13.2">
      <c r="B81" s="25" t="s">
        <v>515</v>
      </c>
      <c r="C81" s="8"/>
      <c r="D81" s="8"/>
      <c r="E81" s="8"/>
    </row>
    <row r="82" spans="2:5" ht="13.8" thickBot="1">
      <c r="B82" s="25" t="s">
        <v>516</v>
      </c>
      <c r="C82" s="8"/>
      <c r="D82" s="8"/>
      <c r="E82" s="8"/>
    </row>
    <row r="83" spans="2:5" ht="14.4" thickTop="1" thickBot="1">
      <c r="B83" s="60" t="s">
        <v>517</v>
      </c>
      <c r="C83" s="9">
        <f>C81+C82</f>
        <v>0</v>
      </c>
      <c r="D83" s="9">
        <f>D81+D82</f>
        <v>0</v>
      </c>
      <c r="E83" s="9">
        <f>E81+E82</f>
        <v>0</v>
      </c>
    </row>
    <row r="84" spans="2:5" ht="13.8" thickTop="1">
      <c r="B84" s="25" t="s">
        <v>518</v>
      </c>
      <c r="C84" s="8"/>
      <c r="D84" s="8"/>
      <c r="E84" s="8"/>
    </row>
    <row r="85" spans="2:5" ht="13.2">
      <c r="B85" s="25" t="s">
        <v>519</v>
      </c>
      <c r="C85" s="8"/>
      <c r="D85" s="8"/>
      <c r="E85" s="8"/>
    </row>
    <row r="86" spans="2:5" ht="13.2">
      <c r="B86" s="25" t="s">
        <v>520</v>
      </c>
      <c r="C86" s="8"/>
      <c r="D86" s="8"/>
      <c r="E86" s="8"/>
    </row>
    <row r="87" spans="2:5" ht="13.2">
      <c r="B87" s="25" t="s">
        <v>521</v>
      </c>
      <c r="C87" s="8"/>
      <c r="D87" s="8"/>
      <c r="E87" s="8"/>
    </row>
    <row r="88" spans="2:5" ht="13.2">
      <c r="B88" s="25" t="s">
        <v>522</v>
      </c>
      <c r="C88" s="8"/>
      <c r="D88" s="8"/>
      <c r="E88" s="8"/>
    </row>
    <row r="89" spans="2:5" ht="13.2">
      <c r="B89" s="25" t="s">
        <v>523</v>
      </c>
      <c r="C89" s="8"/>
      <c r="D89" s="8"/>
      <c r="E89" s="8"/>
    </row>
    <row r="90" spans="2:5" ht="13.2">
      <c r="B90" s="25" t="s">
        <v>524</v>
      </c>
      <c r="C90" s="8"/>
      <c r="D90" s="8"/>
      <c r="E90" s="8"/>
    </row>
    <row r="91" spans="2:5" ht="13.8" thickBot="1">
      <c r="B91" s="25" t="s">
        <v>525</v>
      </c>
      <c r="C91" s="8"/>
      <c r="D91" s="8"/>
      <c r="E91" s="8"/>
    </row>
    <row r="92" spans="2:5" ht="14.4" thickTop="1" thickBot="1">
      <c r="B92" s="60" t="s">
        <v>526</v>
      </c>
      <c r="C92" s="9">
        <f>SUM(C84:C91)</f>
        <v>0</v>
      </c>
      <c r="D92" s="9">
        <f>SUM(D84:D91)</f>
        <v>0</v>
      </c>
      <c r="E92" s="9">
        <f>SUM(E84:E91)</f>
        <v>0</v>
      </c>
    </row>
    <row r="93" spans="2:5" ht="14.4" thickTop="1" thickBot="1">
      <c r="B93" s="61" t="s">
        <v>527</v>
      </c>
      <c r="C93" s="19">
        <f>C83-C92</f>
        <v>0</v>
      </c>
      <c r="D93" s="19">
        <f>D83-D92</f>
        <v>0</v>
      </c>
      <c r="E93" s="19">
        <f>E83-E92</f>
        <v>0</v>
      </c>
    </row>
    <row r="94" spans="2:5" ht="13.8" thickTop="1"/>
    <row r="95" spans="2:5" ht="15.75" customHeight="1">
      <c r="B95" s="58" t="s">
        <v>528</v>
      </c>
    </row>
    <row r="96" spans="2:5" ht="13.2">
      <c r="B96" s="58" t="s">
        <v>529</v>
      </c>
    </row>
    <row r="97" spans="2:2" ht="13.2">
      <c r="B97" s="58" t="s">
        <v>530</v>
      </c>
    </row>
    <row r="98" spans="2:2" ht="13.2"/>
  </sheetData>
  <mergeCells count="38">
    <mergeCell ref="B38:D38"/>
    <mergeCell ref="B30:D30"/>
    <mergeCell ref="B31:D31"/>
    <mergeCell ref="B32:D32"/>
    <mergeCell ref="B34:D34"/>
    <mergeCell ref="B35:D35"/>
    <mergeCell ref="B26:D26"/>
    <mergeCell ref="B28:D28"/>
    <mergeCell ref="A39:A41"/>
    <mergeCell ref="B52:D52"/>
    <mergeCell ref="B53:D53"/>
    <mergeCell ref="B51:D51"/>
    <mergeCell ref="A51:A53"/>
    <mergeCell ref="B40:D40"/>
    <mergeCell ref="B41:D41"/>
    <mergeCell ref="B43:D43"/>
    <mergeCell ref="B42:D42"/>
    <mergeCell ref="B39:D39"/>
    <mergeCell ref="B36:D36"/>
    <mergeCell ref="B33:D33"/>
    <mergeCell ref="A33:A38"/>
    <mergeCell ref="B37:D37"/>
    <mergeCell ref="B29:D29"/>
    <mergeCell ref="B27:D27"/>
    <mergeCell ref="A22:A26"/>
    <mergeCell ref="A47:A50"/>
    <mergeCell ref="A42:A46"/>
    <mergeCell ref="B44:D44"/>
    <mergeCell ref="B45:D45"/>
    <mergeCell ref="B46:D46"/>
    <mergeCell ref="B48:D48"/>
    <mergeCell ref="B49:D49"/>
    <mergeCell ref="B50:D50"/>
    <mergeCell ref="B47:D47"/>
    <mergeCell ref="A27:A32"/>
    <mergeCell ref="B23:D23"/>
    <mergeCell ref="B24:D24"/>
    <mergeCell ref="B25:D25"/>
  </mergeCells>
  <hyperlinks>
    <hyperlink ref="A19" r:id="rId1" display="For further information, read our article on Bold &amp; Sharp website: Who is your most valuable Sales leader?" xr:uid="{00000000-0004-0000-03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0:N170"/>
  <sheetViews>
    <sheetView topLeftCell="A73" workbookViewId="0">
      <selection activeCell="B24" sqref="B24:B26"/>
    </sheetView>
  </sheetViews>
  <sheetFormatPr defaultColWidth="12.6640625" defaultRowHeight="15.75" customHeight="1"/>
  <cols>
    <col min="1" max="1" width="22.5546875" style="24" customWidth="1"/>
    <col min="2" max="2" width="24" style="24" customWidth="1"/>
    <col min="3" max="3" width="21" style="24" customWidth="1"/>
    <col min="4" max="4" width="12.6640625" style="24"/>
    <col min="5" max="5" width="14.77734375" style="24" customWidth="1"/>
    <col min="6" max="6" width="12.6640625" style="24"/>
    <col min="7" max="7" width="15.5546875" style="24" customWidth="1"/>
    <col min="8" max="16384" width="12.6640625" style="24"/>
  </cols>
  <sheetData>
    <row r="10" spans="1:6" ht="15.75" customHeight="1">
      <c r="A10" s="26" t="s">
        <v>852</v>
      </c>
    </row>
    <row r="11" spans="1:6" ht="15.75" customHeight="1">
      <c r="A11" s="26" t="s">
        <v>854</v>
      </c>
    </row>
    <row r="12" spans="1:6" ht="15.75" customHeight="1">
      <c r="A12" s="26"/>
    </row>
    <row r="13" spans="1:6" ht="15.75" customHeight="1">
      <c r="A13" s="26" t="s">
        <v>853</v>
      </c>
    </row>
    <row r="15" spans="1:6" ht="15.75" customHeight="1">
      <c r="B15" s="28" t="s">
        <v>850</v>
      </c>
      <c r="C15" s="28"/>
      <c r="D15" s="28"/>
      <c r="E15" s="28"/>
      <c r="F15" s="28"/>
    </row>
    <row r="16" spans="1:6" ht="15.75" customHeight="1">
      <c r="B16" s="28" t="s">
        <v>851</v>
      </c>
      <c r="C16" s="28"/>
      <c r="D16" s="28"/>
      <c r="E16" s="28"/>
      <c r="F16" s="28"/>
    </row>
    <row r="18" spans="1:11" ht="15.75" customHeight="1">
      <c r="A18" s="20" t="s">
        <v>561</v>
      </c>
      <c r="B18" s="20"/>
      <c r="C18" s="20"/>
      <c r="D18" s="20"/>
      <c r="E18" s="20"/>
      <c r="F18" s="20"/>
      <c r="G18" s="20"/>
      <c r="H18" s="20"/>
      <c r="I18" s="20"/>
      <c r="J18" s="20"/>
      <c r="K18" s="20"/>
    </row>
    <row r="20" spans="1:11" ht="15.75" customHeight="1">
      <c r="A20" s="25" t="s">
        <v>562</v>
      </c>
    </row>
    <row r="21" spans="1:11" ht="15.75" customHeight="1">
      <c r="A21" s="25" t="s">
        <v>599</v>
      </c>
    </row>
    <row r="22" spans="1:11" ht="15.75" customHeight="1">
      <c r="A22" s="26" t="s">
        <v>855</v>
      </c>
    </row>
    <row r="24" spans="1:11" ht="15.75" customHeight="1">
      <c r="B24" s="28" t="s">
        <v>563</v>
      </c>
      <c r="C24" s="27"/>
    </row>
    <row r="25" spans="1:11" ht="15.75" customHeight="1">
      <c r="B25" s="28" t="s">
        <v>600</v>
      </c>
      <c r="C25" s="27"/>
    </row>
    <row r="26" spans="1:11" ht="15.75" customHeight="1">
      <c r="B26" s="28" t="s">
        <v>564</v>
      </c>
      <c r="C26" s="27"/>
    </row>
    <row r="66" spans="1:11" ht="15.75" customHeight="1">
      <c r="A66" s="20" t="s">
        <v>565</v>
      </c>
      <c r="B66" s="20"/>
      <c r="C66" s="20"/>
      <c r="D66" s="20"/>
      <c r="E66" s="20"/>
      <c r="F66" s="20"/>
      <c r="G66" s="20"/>
      <c r="H66" s="20"/>
      <c r="I66" s="20"/>
      <c r="J66" s="20"/>
      <c r="K66" s="20"/>
    </row>
    <row r="68" spans="1:11" ht="15.75" customHeight="1">
      <c r="A68" s="26" t="s">
        <v>566</v>
      </c>
    </row>
    <row r="69" spans="1:11" ht="15.75" customHeight="1">
      <c r="A69" s="26" t="s">
        <v>601</v>
      </c>
    </row>
    <row r="71" spans="1:11" ht="15.75" customHeight="1">
      <c r="A71" s="28" t="s">
        <v>567</v>
      </c>
      <c r="B71" s="8" t="s">
        <v>568</v>
      </c>
      <c r="C71" s="28" t="s">
        <v>228</v>
      </c>
      <c r="D71" s="29"/>
    </row>
    <row r="72" spans="1:11" ht="15.75" customHeight="1">
      <c r="B72" s="30" t="s">
        <v>569</v>
      </c>
      <c r="C72" s="24" t="s">
        <v>231</v>
      </c>
    </row>
    <row r="73" spans="1:11" ht="15.75" customHeight="1">
      <c r="B73" s="30" t="s">
        <v>569</v>
      </c>
      <c r="C73" s="24" t="s">
        <v>570</v>
      </c>
    </row>
    <row r="74" spans="1:11" ht="15.75" customHeight="1">
      <c r="B74" s="30" t="s">
        <v>569</v>
      </c>
      <c r="C74" s="24" t="s">
        <v>571</v>
      </c>
    </row>
    <row r="75" spans="1:11" ht="15.75" customHeight="1">
      <c r="B75" s="30" t="s">
        <v>569</v>
      </c>
      <c r="C75" s="24" t="s">
        <v>572</v>
      </c>
    </row>
    <row r="76" spans="1:11" ht="15.75" customHeight="1">
      <c r="B76" s="30" t="s">
        <v>569</v>
      </c>
      <c r="C76" s="24" t="s">
        <v>573</v>
      </c>
    </row>
    <row r="78" spans="1:11" ht="15.75" customHeight="1">
      <c r="A78" s="26" t="s">
        <v>602</v>
      </c>
      <c r="C78" s="26" t="s">
        <v>571</v>
      </c>
    </row>
    <row r="79" spans="1:11" ht="15.75" customHeight="1">
      <c r="C79" s="26" t="s">
        <v>603</v>
      </c>
    </row>
    <row r="80" spans="1:11" ht="15.75" customHeight="1">
      <c r="C80" s="26" t="s">
        <v>574</v>
      </c>
    </row>
    <row r="81" spans="1:14" ht="15.75" customHeight="1">
      <c r="C81" s="26" t="s">
        <v>575</v>
      </c>
    </row>
    <row r="82" spans="1:14" ht="15.75" customHeight="1">
      <c r="C82" s="26"/>
    </row>
    <row r="83" spans="1:14" ht="15.75" customHeight="1">
      <c r="A83" s="28" t="s">
        <v>595</v>
      </c>
      <c r="B83" s="21" t="s">
        <v>568</v>
      </c>
      <c r="C83" s="28" t="s">
        <v>567</v>
      </c>
      <c r="D83" s="29"/>
      <c r="F83" s="32" t="s">
        <v>652</v>
      </c>
      <c r="G83" s="33"/>
      <c r="H83" s="33"/>
      <c r="I83" s="33"/>
      <c r="J83" s="33"/>
      <c r="K83" s="33"/>
      <c r="L83" s="33"/>
      <c r="M83" s="33"/>
      <c r="N83" s="33"/>
    </row>
    <row r="84" spans="1:14" ht="15.75" customHeight="1">
      <c r="C84" s="26" t="s">
        <v>596</v>
      </c>
      <c r="F84" s="26" t="s">
        <v>653</v>
      </c>
    </row>
    <row r="85" spans="1:14" ht="15.75" customHeight="1">
      <c r="C85" s="26"/>
    </row>
    <row r="86" spans="1:14" ht="15.75" customHeight="1">
      <c r="A86" s="28" t="s">
        <v>609</v>
      </c>
      <c r="B86" s="21" t="s">
        <v>568</v>
      </c>
      <c r="C86" s="28" t="s">
        <v>567</v>
      </c>
      <c r="F86" s="32" t="s">
        <v>654</v>
      </c>
      <c r="G86" s="33"/>
      <c r="H86" s="33"/>
      <c r="I86" s="33"/>
      <c r="J86" s="33"/>
      <c r="K86" s="33"/>
      <c r="L86" s="33"/>
      <c r="M86" s="33"/>
      <c r="N86" s="33"/>
    </row>
    <row r="87" spans="1:14" ht="15.75" customHeight="1">
      <c r="B87" s="31" t="s">
        <v>578</v>
      </c>
      <c r="C87" s="26" t="s">
        <v>610</v>
      </c>
    </row>
    <row r="88" spans="1:14" ht="15.75" customHeight="1">
      <c r="B88" s="31" t="s">
        <v>569</v>
      </c>
      <c r="C88" s="26" t="s">
        <v>611</v>
      </c>
    </row>
    <row r="90" spans="1:14" ht="15.75" customHeight="1">
      <c r="A90" s="28" t="s">
        <v>581</v>
      </c>
      <c r="B90" s="21" t="s">
        <v>568</v>
      </c>
      <c r="C90" s="28" t="s">
        <v>582</v>
      </c>
      <c r="D90" s="28"/>
      <c r="F90" s="32" t="s">
        <v>663</v>
      </c>
      <c r="G90" s="33"/>
      <c r="H90" s="33"/>
      <c r="I90" s="33"/>
      <c r="J90" s="33"/>
      <c r="K90" s="33"/>
      <c r="L90" s="33"/>
      <c r="M90" s="33"/>
      <c r="N90" s="33"/>
    </row>
    <row r="91" spans="1:14" ht="15.75" customHeight="1">
      <c r="B91" s="30" t="s">
        <v>578</v>
      </c>
      <c r="C91" s="24" t="s">
        <v>583</v>
      </c>
      <c r="F91" s="32" t="s">
        <v>657</v>
      </c>
      <c r="G91" s="33"/>
      <c r="H91" s="33"/>
      <c r="I91" s="33"/>
      <c r="J91" s="33"/>
      <c r="K91" s="33"/>
      <c r="L91" s="33"/>
      <c r="M91" s="33"/>
      <c r="N91" s="33"/>
    </row>
    <row r="92" spans="1:14" ht="15.75" customHeight="1">
      <c r="B92" s="30" t="s">
        <v>578</v>
      </c>
      <c r="C92" s="24" t="s">
        <v>584</v>
      </c>
    </row>
    <row r="93" spans="1:14" ht="15.75" customHeight="1">
      <c r="B93" s="30" t="s">
        <v>578</v>
      </c>
      <c r="C93" s="24" t="s">
        <v>585</v>
      </c>
    </row>
    <row r="94" spans="1:14" ht="15.75" customHeight="1">
      <c r="B94" s="30" t="s">
        <v>578</v>
      </c>
      <c r="C94" s="24" t="s">
        <v>586</v>
      </c>
    </row>
    <row r="96" spans="1:14" ht="15.75" customHeight="1">
      <c r="A96" s="28" t="s">
        <v>576</v>
      </c>
      <c r="B96" s="21" t="s">
        <v>568</v>
      </c>
      <c r="C96" s="28" t="s">
        <v>577</v>
      </c>
      <c r="D96" s="28"/>
      <c r="F96" s="32" t="s">
        <v>656</v>
      </c>
      <c r="G96" s="33"/>
      <c r="H96" s="33"/>
      <c r="I96" s="33"/>
      <c r="J96" s="33"/>
      <c r="K96" s="33"/>
      <c r="L96" s="33"/>
      <c r="M96" s="33"/>
      <c r="N96" s="33"/>
    </row>
    <row r="97" spans="1:14" ht="15.75" customHeight="1">
      <c r="B97" s="30" t="s">
        <v>578</v>
      </c>
      <c r="C97" s="24" t="s">
        <v>579</v>
      </c>
    </row>
    <row r="98" spans="1:14" ht="15.75" customHeight="1">
      <c r="B98" s="30" t="s">
        <v>578</v>
      </c>
      <c r="C98" s="26" t="s">
        <v>588</v>
      </c>
    </row>
    <row r="99" spans="1:14" ht="15.75" customHeight="1">
      <c r="B99" s="30" t="s">
        <v>578</v>
      </c>
      <c r="C99" s="24" t="s">
        <v>580</v>
      </c>
    </row>
    <row r="100" spans="1:14" ht="15.75" customHeight="1">
      <c r="B100" s="30" t="s">
        <v>578</v>
      </c>
      <c r="C100" s="26" t="s">
        <v>655</v>
      </c>
    </row>
    <row r="102" spans="1:14" ht="15.75" customHeight="1">
      <c r="A102" s="28" t="s">
        <v>591</v>
      </c>
      <c r="B102" s="21" t="s">
        <v>568</v>
      </c>
      <c r="C102" s="28" t="s">
        <v>587</v>
      </c>
      <c r="D102" s="28"/>
      <c r="F102" s="32" t="s">
        <v>658</v>
      </c>
      <c r="G102" s="33"/>
      <c r="H102" s="33"/>
      <c r="I102" s="33"/>
      <c r="J102" s="33"/>
      <c r="K102" s="33"/>
      <c r="L102" s="33"/>
      <c r="M102" s="33"/>
      <c r="N102" s="33"/>
    </row>
    <row r="103" spans="1:14" ht="15.75" customHeight="1">
      <c r="B103" s="30" t="s">
        <v>578</v>
      </c>
      <c r="C103" s="26" t="s">
        <v>592</v>
      </c>
    </row>
    <row r="104" spans="1:14" ht="15.75" customHeight="1">
      <c r="B104" s="30" t="s">
        <v>578</v>
      </c>
      <c r="C104" s="26" t="s">
        <v>597</v>
      </c>
    </row>
    <row r="105" spans="1:14" ht="15.75" customHeight="1">
      <c r="B105" s="30" t="s">
        <v>578</v>
      </c>
      <c r="C105" s="26" t="s">
        <v>593</v>
      </c>
    </row>
    <row r="107" spans="1:14" ht="15.75" customHeight="1">
      <c r="A107" s="28" t="s">
        <v>587</v>
      </c>
      <c r="B107" s="21" t="s">
        <v>568</v>
      </c>
      <c r="C107" s="28" t="s">
        <v>590</v>
      </c>
      <c r="D107" s="28"/>
      <c r="F107" s="94" t="s">
        <v>607</v>
      </c>
      <c r="G107" s="94"/>
      <c r="H107" s="94"/>
      <c r="I107" s="94"/>
      <c r="J107" s="33"/>
      <c r="K107" s="33"/>
      <c r="L107" s="33"/>
      <c r="M107" s="33"/>
      <c r="N107" s="33"/>
    </row>
    <row r="108" spans="1:14" ht="15.75" customHeight="1">
      <c r="B108" s="30" t="s">
        <v>578</v>
      </c>
      <c r="C108" s="26" t="s">
        <v>589</v>
      </c>
    </row>
    <row r="109" spans="1:14" ht="15.75" customHeight="1">
      <c r="B109" s="30"/>
      <c r="C109" s="26"/>
    </row>
    <row r="110" spans="1:14" ht="15.75" customHeight="1">
      <c r="A110" s="28" t="s">
        <v>594</v>
      </c>
      <c r="B110" s="21" t="s">
        <v>568</v>
      </c>
      <c r="C110" s="28" t="s">
        <v>581</v>
      </c>
      <c r="D110" s="28"/>
      <c r="F110" s="32" t="s">
        <v>659</v>
      </c>
      <c r="G110" s="33"/>
      <c r="H110" s="33"/>
      <c r="I110" s="33"/>
      <c r="J110" s="33"/>
      <c r="K110" s="33"/>
      <c r="L110" s="33"/>
      <c r="M110" s="33"/>
      <c r="N110" s="33"/>
    </row>
    <row r="111" spans="1:14" ht="15.75" customHeight="1">
      <c r="B111" s="31" t="s">
        <v>569</v>
      </c>
      <c r="C111" s="11" t="s">
        <v>598</v>
      </c>
      <c r="D111" s="11"/>
    </row>
    <row r="113" spans="1:14" ht="15.75" customHeight="1">
      <c r="A113" s="28" t="s">
        <v>619</v>
      </c>
      <c r="B113" s="21" t="s">
        <v>568</v>
      </c>
      <c r="C113" s="28" t="s">
        <v>581</v>
      </c>
      <c r="D113" s="29"/>
      <c r="F113" s="32" t="s">
        <v>660</v>
      </c>
      <c r="G113" s="33"/>
      <c r="H113" s="33"/>
      <c r="I113" s="33"/>
      <c r="J113" s="33"/>
      <c r="K113" s="33"/>
      <c r="L113" s="33"/>
      <c r="M113" s="33"/>
      <c r="N113" s="33"/>
    </row>
    <row r="114" spans="1:14" ht="15.75" customHeight="1">
      <c r="B114" s="31" t="s">
        <v>569</v>
      </c>
      <c r="C114" s="26" t="s">
        <v>623</v>
      </c>
      <c r="F114" s="32" t="s">
        <v>664</v>
      </c>
      <c r="G114" s="33"/>
      <c r="H114" s="33"/>
      <c r="I114" s="33"/>
      <c r="J114" s="33"/>
      <c r="K114" s="33"/>
      <c r="L114" s="33"/>
      <c r="M114" s="33"/>
      <c r="N114" s="33"/>
    </row>
    <row r="116" spans="1:14" ht="15.75" customHeight="1">
      <c r="A116" s="28" t="s">
        <v>623</v>
      </c>
      <c r="B116" s="21" t="s">
        <v>568</v>
      </c>
      <c r="C116" s="28" t="s">
        <v>624</v>
      </c>
      <c r="D116" s="28"/>
      <c r="F116" s="32" t="s">
        <v>661</v>
      </c>
      <c r="G116" s="33"/>
      <c r="H116" s="33"/>
      <c r="I116" s="33"/>
      <c r="J116" s="33"/>
      <c r="K116" s="33"/>
      <c r="L116" s="33"/>
      <c r="M116" s="33"/>
      <c r="N116" s="33"/>
    </row>
    <row r="117" spans="1:14" ht="15.75" customHeight="1">
      <c r="B117" s="30" t="s">
        <v>578</v>
      </c>
      <c r="C117" s="26" t="s">
        <v>625</v>
      </c>
    </row>
    <row r="118" spans="1:14" ht="15.75" customHeight="1">
      <c r="B118" s="30" t="s">
        <v>578</v>
      </c>
      <c r="C118" s="26" t="s">
        <v>626</v>
      </c>
    </row>
    <row r="119" spans="1:14" ht="15.75" customHeight="1">
      <c r="B119" s="30" t="s">
        <v>578</v>
      </c>
      <c r="C119" s="26" t="s">
        <v>588</v>
      </c>
    </row>
    <row r="120" spans="1:14" ht="15.75" customHeight="1">
      <c r="B120" s="30" t="s">
        <v>578</v>
      </c>
      <c r="C120" s="26" t="s">
        <v>629</v>
      </c>
    </row>
    <row r="121" spans="1:14" ht="15.75" customHeight="1">
      <c r="B121" s="30" t="s">
        <v>578</v>
      </c>
      <c r="C121" s="26" t="s">
        <v>627</v>
      </c>
    </row>
    <row r="122" spans="1:14" ht="15.75" customHeight="1">
      <c r="B122" s="30" t="s">
        <v>578</v>
      </c>
      <c r="C122" s="26" t="s">
        <v>628</v>
      </c>
    </row>
    <row r="124" spans="1:14" ht="15.75" customHeight="1">
      <c r="A124" s="26" t="s">
        <v>665</v>
      </c>
      <c r="C124" s="26"/>
    </row>
    <row r="125" spans="1:14" ht="15.75" customHeight="1">
      <c r="C125" s="26"/>
    </row>
    <row r="127" spans="1:14" ht="15.75" customHeight="1">
      <c r="A127" s="28" t="s">
        <v>608</v>
      </c>
      <c r="B127" s="21" t="s">
        <v>568</v>
      </c>
      <c r="C127" s="28" t="s">
        <v>576</v>
      </c>
      <c r="D127" s="28"/>
      <c r="F127" s="32" t="s">
        <v>606</v>
      </c>
      <c r="G127" s="33"/>
      <c r="H127" s="33"/>
      <c r="I127" s="33"/>
      <c r="J127" s="33"/>
      <c r="K127" s="33"/>
      <c r="L127" s="33"/>
      <c r="M127" s="33"/>
      <c r="N127" s="33"/>
    </row>
    <row r="128" spans="1:14" ht="15.75" customHeight="1">
      <c r="B128" s="34" t="s">
        <v>612</v>
      </c>
      <c r="C128" s="11" t="s">
        <v>587</v>
      </c>
      <c r="D128" s="11"/>
    </row>
    <row r="130" spans="1:14" ht="15.75" customHeight="1">
      <c r="A130" s="28" t="s">
        <v>604</v>
      </c>
      <c r="B130" s="21" t="s">
        <v>568</v>
      </c>
      <c r="C130" s="28" t="s">
        <v>605</v>
      </c>
      <c r="D130" s="28"/>
      <c r="F130" s="32" t="s">
        <v>662</v>
      </c>
      <c r="G130" s="33"/>
      <c r="H130" s="33"/>
      <c r="I130" s="33"/>
      <c r="J130" s="33"/>
      <c r="K130" s="33"/>
      <c r="L130" s="33"/>
      <c r="M130" s="33"/>
      <c r="N130" s="33"/>
    </row>
    <row r="131" spans="1:14" ht="15.75" customHeight="1">
      <c r="B131" s="34" t="s">
        <v>612</v>
      </c>
      <c r="C131" s="26" t="s">
        <v>591</v>
      </c>
    </row>
    <row r="133" spans="1:14" ht="15.75" customHeight="1">
      <c r="A133" s="28" t="s">
        <v>613</v>
      </c>
      <c r="B133" s="21" t="s">
        <v>568</v>
      </c>
      <c r="C133" s="28" t="s">
        <v>567</v>
      </c>
      <c r="D133" s="28"/>
      <c r="F133" s="32" t="s">
        <v>643</v>
      </c>
      <c r="G133" s="32"/>
      <c r="H133" s="32"/>
      <c r="I133" s="32"/>
      <c r="J133" s="32"/>
      <c r="K133" s="32"/>
      <c r="L133" s="32"/>
      <c r="M133" s="32"/>
      <c r="N133" s="32"/>
    </row>
    <row r="134" spans="1:14" ht="15.75" customHeight="1">
      <c r="B134" s="34" t="s">
        <v>612</v>
      </c>
      <c r="C134" s="26" t="s">
        <v>622</v>
      </c>
    </row>
    <row r="136" spans="1:14" ht="15.75" customHeight="1">
      <c r="B136" s="21" t="s">
        <v>568</v>
      </c>
      <c r="C136" s="22" t="s">
        <v>567</v>
      </c>
      <c r="D136" s="21" t="s">
        <v>614</v>
      </c>
      <c r="E136" s="22" t="s">
        <v>228</v>
      </c>
      <c r="F136" s="21" t="s">
        <v>614</v>
      </c>
      <c r="G136" s="22" t="s">
        <v>581</v>
      </c>
    </row>
    <row r="137" spans="1:14" ht="15.75" customHeight="1">
      <c r="B137" s="34" t="s">
        <v>612</v>
      </c>
      <c r="C137" s="21" t="s">
        <v>228</v>
      </c>
      <c r="D137" s="34" t="s">
        <v>612</v>
      </c>
      <c r="E137" s="21" t="s">
        <v>581</v>
      </c>
      <c r="F137" s="34" t="s">
        <v>612</v>
      </c>
      <c r="G137" s="21" t="s">
        <v>622</v>
      </c>
    </row>
    <row r="138" spans="1:14" ht="15.75" customHeight="1">
      <c r="B138" s="34"/>
      <c r="C138" s="21"/>
      <c r="D138" s="34"/>
      <c r="E138" s="21"/>
      <c r="F138" s="34"/>
      <c r="G138" s="21"/>
    </row>
    <row r="140" spans="1:14" ht="15.75" customHeight="1">
      <c r="C140" s="22" t="s">
        <v>644</v>
      </c>
      <c r="D140" s="21" t="s">
        <v>614</v>
      </c>
      <c r="E140" s="22" t="s">
        <v>615</v>
      </c>
      <c r="F140" s="21" t="s">
        <v>614</v>
      </c>
      <c r="G140" s="22" t="s">
        <v>648</v>
      </c>
    </row>
    <row r="144" spans="1:14" ht="15.75" customHeight="1">
      <c r="C144" s="261" t="s">
        <v>616</v>
      </c>
      <c r="D144" s="261"/>
      <c r="E144" s="261"/>
    </row>
    <row r="147" spans="1:14" ht="15.75" customHeight="1">
      <c r="A147" s="35" t="s">
        <v>630</v>
      </c>
      <c r="B147" s="21" t="s">
        <v>568</v>
      </c>
      <c r="C147" s="36" t="s">
        <v>633</v>
      </c>
      <c r="E147" s="37"/>
      <c r="F147" s="92" t="s">
        <v>645</v>
      </c>
      <c r="G147" s="93"/>
      <c r="H147" s="33"/>
      <c r="I147" s="33"/>
      <c r="J147" s="33"/>
      <c r="K147" s="33"/>
      <c r="L147" s="33"/>
      <c r="M147" s="33"/>
      <c r="N147" s="33"/>
    </row>
    <row r="148" spans="1:14" ht="15.75" customHeight="1">
      <c r="B148" s="34" t="s">
        <v>612</v>
      </c>
      <c r="C148" s="38" t="s">
        <v>228</v>
      </c>
      <c r="F148" s="25" t="s">
        <v>620</v>
      </c>
      <c r="G148" s="38"/>
    </row>
    <row r="150" spans="1:14" ht="15.75" customHeight="1">
      <c r="A150" s="35" t="s">
        <v>634</v>
      </c>
      <c r="B150" s="21" t="s">
        <v>568</v>
      </c>
      <c r="C150" s="39" t="s">
        <v>636</v>
      </c>
      <c r="E150" s="40"/>
      <c r="F150" s="32" t="s">
        <v>649</v>
      </c>
      <c r="G150" s="33"/>
      <c r="H150" s="33"/>
      <c r="I150" s="33"/>
      <c r="J150" s="33"/>
      <c r="K150" s="33"/>
      <c r="L150" s="33"/>
      <c r="M150" s="33"/>
      <c r="N150" s="33"/>
    </row>
    <row r="151" spans="1:14" ht="15.75" customHeight="1">
      <c r="B151" s="34" t="s">
        <v>612</v>
      </c>
      <c r="C151" s="38" t="s">
        <v>637</v>
      </c>
      <c r="F151" s="26" t="s">
        <v>638</v>
      </c>
      <c r="G151" s="38"/>
    </row>
    <row r="152" spans="1:14" ht="15.75" customHeight="1">
      <c r="B152" s="34"/>
      <c r="C152" s="38"/>
      <c r="F152" s="26"/>
      <c r="G152" s="38"/>
    </row>
    <row r="153" spans="1:14" ht="15.75" customHeight="1">
      <c r="A153" s="35" t="s">
        <v>641</v>
      </c>
      <c r="B153" s="21" t="s">
        <v>568</v>
      </c>
      <c r="C153" s="36" t="s">
        <v>581</v>
      </c>
      <c r="F153" s="32" t="s">
        <v>642</v>
      </c>
      <c r="G153" s="33"/>
      <c r="H153" s="33"/>
      <c r="I153" s="33"/>
      <c r="J153" s="33"/>
      <c r="K153" s="33"/>
      <c r="L153" s="33"/>
      <c r="M153" s="33"/>
      <c r="N153" s="33"/>
    </row>
    <row r="154" spans="1:14" ht="15.75" customHeight="1">
      <c r="A154" s="91"/>
      <c r="B154" s="34" t="s">
        <v>612</v>
      </c>
      <c r="C154" s="41" t="s">
        <v>621</v>
      </c>
    </row>
    <row r="155" spans="1:14" ht="15.75" customHeight="1">
      <c r="A155" s="91"/>
      <c r="C155" s="41"/>
    </row>
    <row r="156" spans="1:14" ht="15.75" customHeight="1">
      <c r="A156" s="35" t="s">
        <v>631</v>
      </c>
      <c r="B156" s="21" t="s">
        <v>568</v>
      </c>
      <c r="C156" s="36" t="s">
        <v>618</v>
      </c>
      <c r="F156" s="32" t="s">
        <v>647</v>
      </c>
      <c r="G156" s="33"/>
      <c r="H156" s="33"/>
      <c r="I156" s="33"/>
      <c r="J156" s="33"/>
      <c r="K156" s="33"/>
      <c r="L156" s="33"/>
      <c r="M156" s="33"/>
      <c r="N156" s="33"/>
    </row>
    <row r="157" spans="1:14" ht="15.75" customHeight="1">
      <c r="B157" s="34" t="s">
        <v>612</v>
      </c>
      <c r="C157" s="38" t="s">
        <v>632</v>
      </c>
    </row>
    <row r="159" spans="1:14" ht="15.75" customHeight="1">
      <c r="A159" s="35" t="s">
        <v>635</v>
      </c>
      <c r="B159" s="21" t="s">
        <v>568</v>
      </c>
      <c r="C159" s="39" t="s">
        <v>636</v>
      </c>
      <c r="D159" s="26"/>
      <c r="F159" s="32" t="s">
        <v>651</v>
      </c>
      <c r="G159" s="33"/>
      <c r="H159" s="33"/>
      <c r="I159" s="33"/>
      <c r="J159" s="33"/>
      <c r="K159" s="33"/>
      <c r="L159" s="33"/>
      <c r="M159" s="33"/>
      <c r="N159" s="33"/>
    </row>
    <row r="160" spans="1:14" ht="15.75" customHeight="1">
      <c r="B160" s="34" t="s">
        <v>612</v>
      </c>
      <c r="C160" s="38" t="s">
        <v>650</v>
      </c>
      <c r="F160" s="26" t="s">
        <v>639</v>
      </c>
    </row>
    <row r="162" spans="1:14" ht="15.75" customHeight="1">
      <c r="A162" s="28" t="s">
        <v>617</v>
      </c>
      <c r="B162" s="21" t="s">
        <v>568</v>
      </c>
      <c r="C162" s="39" t="s">
        <v>618</v>
      </c>
      <c r="F162" s="32" t="s">
        <v>640</v>
      </c>
      <c r="G162" s="33"/>
      <c r="H162" s="33"/>
      <c r="I162" s="33"/>
      <c r="J162" s="33"/>
      <c r="K162" s="33"/>
      <c r="L162" s="33"/>
      <c r="M162" s="33"/>
      <c r="N162" s="33"/>
    </row>
    <row r="163" spans="1:14" ht="15.75" customHeight="1">
      <c r="A163" s="42"/>
      <c r="B163" s="34" t="s">
        <v>612</v>
      </c>
      <c r="C163" s="38" t="s">
        <v>619</v>
      </c>
    </row>
    <row r="164" spans="1:14" ht="15.75" customHeight="1">
      <c r="A164" s="42"/>
    </row>
    <row r="165" spans="1:14" ht="15.75" customHeight="1">
      <c r="A165" s="35" t="s">
        <v>615</v>
      </c>
      <c r="B165" s="21" t="s">
        <v>568</v>
      </c>
      <c r="C165" s="36" t="s">
        <v>228</v>
      </c>
      <c r="D165" s="41"/>
      <c r="F165" s="32" t="s">
        <v>646</v>
      </c>
      <c r="G165" s="33"/>
      <c r="H165" s="33"/>
      <c r="I165" s="33"/>
      <c r="J165" s="33"/>
      <c r="K165" s="33"/>
      <c r="L165" s="33"/>
      <c r="M165" s="33"/>
      <c r="N165" s="33"/>
    </row>
    <row r="166" spans="1:14" ht="15.75" customHeight="1">
      <c r="A166" s="91"/>
      <c r="B166" s="34" t="s">
        <v>612</v>
      </c>
      <c r="C166" s="41" t="s">
        <v>581</v>
      </c>
      <c r="D166" s="41"/>
    </row>
    <row r="167" spans="1:14" ht="15.75" customHeight="1">
      <c r="A167" s="91"/>
      <c r="C167" s="41"/>
      <c r="D167" s="38"/>
    </row>
    <row r="168" spans="1:14" ht="15.75" customHeight="1">
      <c r="A168" s="42"/>
    </row>
    <row r="169" spans="1:14" ht="15.75" customHeight="1">
      <c r="A169" s="42"/>
    </row>
    <row r="170" spans="1:14" ht="15.75" customHeight="1">
      <c r="A170" s="42"/>
    </row>
  </sheetData>
  <mergeCells count="1">
    <mergeCell ref="C144:E144"/>
  </mergeCells>
  <phoneticPr fontId="25"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3A453-03D7-464E-A83A-6E97215C41D2}">
  <dimension ref="A10:U352"/>
  <sheetViews>
    <sheetView topLeftCell="A177" zoomScaleNormal="100" workbookViewId="0">
      <selection activeCell="I217" sqref="I217"/>
    </sheetView>
  </sheetViews>
  <sheetFormatPr defaultRowHeight="13.2"/>
  <cols>
    <col min="1" max="1" width="20.88671875" style="24" customWidth="1"/>
    <col min="2" max="2" width="12.6640625" style="24" customWidth="1"/>
    <col min="3" max="3" width="15.88671875" style="24" customWidth="1"/>
    <col min="4" max="5" width="12.6640625" style="24" customWidth="1"/>
    <col min="6" max="6" width="14.88671875" style="24" customWidth="1"/>
    <col min="7" max="7" width="12.5546875" style="24" bestFit="1" customWidth="1"/>
    <col min="8" max="8" width="11.88671875" style="24" customWidth="1"/>
    <col min="9" max="9" width="10.44140625" style="24" customWidth="1"/>
    <col min="10" max="13" width="9" style="24" bestFit="1" customWidth="1"/>
    <col min="14" max="16384" width="8.88671875" style="24"/>
  </cols>
  <sheetData>
    <row r="10" spans="1:18">
      <c r="A10" s="24" t="s">
        <v>690</v>
      </c>
    </row>
    <row r="11" spans="1:18">
      <c r="A11" s="26" t="s">
        <v>856</v>
      </c>
    </row>
    <row r="13" spans="1:18">
      <c r="A13" s="24" t="s">
        <v>695</v>
      </c>
    </row>
    <row r="14" spans="1:18">
      <c r="A14" s="24" t="s">
        <v>688</v>
      </c>
      <c r="I14" s="99" t="s">
        <v>687</v>
      </c>
    </row>
    <row r="16" spans="1:18">
      <c r="A16" s="98" t="s">
        <v>686</v>
      </c>
      <c r="B16" s="98"/>
      <c r="C16" s="98"/>
      <c r="D16" s="98"/>
      <c r="E16" s="98"/>
      <c r="F16" s="98"/>
      <c r="G16" s="98"/>
      <c r="H16" s="98"/>
      <c r="I16" s="98"/>
      <c r="J16" s="98"/>
      <c r="K16" s="98"/>
      <c r="L16" s="98"/>
      <c r="M16" s="98"/>
      <c r="N16" s="98"/>
      <c r="O16" s="98"/>
      <c r="P16" s="98"/>
      <c r="Q16" s="98"/>
      <c r="R16" s="98"/>
    </row>
    <row r="18" spans="1:18">
      <c r="A18" s="24" t="s">
        <v>689</v>
      </c>
    </row>
    <row r="19" spans="1:18">
      <c r="A19" s="24" t="s">
        <v>691</v>
      </c>
    </row>
    <row r="20" spans="1:18">
      <c r="A20" s="24" t="s">
        <v>692</v>
      </c>
    </row>
    <row r="22" spans="1:18">
      <c r="B22" s="24" t="s">
        <v>693</v>
      </c>
    </row>
    <row r="23" spans="1:18">
      <c r="B23" s="24" t="s">
        <v>694</v>
      </c>
    </row>
    <row r="25" spans="1:18">
      <c r="A25" s="140" t="s">
        <v>666</v>
      </c>
      <c r="B25" s="267" t="s">
        <v>667</v>
      </c>
      <c r="C25" s="268"/>
      <c r="D25" s="268"/>
      <c r="E25" s="269"/>
      <c r="F25" s="141" t="s">
        <v>668</v>
      </c>
      <c r="G25" s="270" t="s">
        <v>669</v>
      </c>
      <c r="H25" s="271"/>
      <c r="I25" s="271"/>
      <c r="J25" s="271"/>
      <c r="K25" s="271"/>
      <c r="L25" s="271"/>
      <c r="M25" s="271"/>
      <c r="N25" s="271"/>
      <c r="O25" s="271"/>
      <c r="P25" s="271"/>
      <c r="Q25" s="271"/>
      <c r="R25" s="272"/>
    </row>
    <row r="26" spans="1:18" ht="15.75" customHeight="1">
      <c r="A26" s="133"/>
      <c r="B26" s="133"/>
      <c r="C26" s="133"/>
      <c r="D26" s="133"/>
      <c r="E26" s="133"/>
      <c r="F26" s="133"/>
      <c r="G26" s="133"/>
      <c r="H26" s="133"/>
      <c r="I26" s="133"/>
      <c r="J26" s="133"/>
      <c r="K26" s="133"/>
      <c r="L26" s="133"/>
      <c r="M26" s="133"/>
      <c r="N26" s="133"/>
      <c r="O26" s="133"/>
      <c r="P26" s="133"/>
      <c r="Q26" s="133"/>
      <c r="R26" s="133"/>
    </row>
    <row r="27" spans="1:18">
      <c r="A27" s="142" t="s">
        <v>670</v>
      </c>
      <c r="B27" s="143" t="s">
        <v>671</v>
      </c>
      <c r="C27" s="133"/>
      <c r="D27" s="133"/>
      <c r="E27" s="133"/>
      <c r="F27" s="143" t="s">
        <v>672</v>
      </c>
      <c r="G27" s="143" t="s">
        <v>673</v>
      </c>
      <c r="H27" s="133"/>
      <c r="I27" s="133"/>
      <c r="J27" s="133"/>
      <c r="K27" s="133"/>
      <c r="L27" s="133"/>
      <c r="M27" s="133"/>
      <c r="N27" s="133"/>
      <c r="O27" s="133"/>
      <c r="P27" s="133"/>
      <c r="Q27" s="133"/>
      <c r="R27" s="133"/>
    </row>
    <row r="28" spans="1:18">
      <c r="A28" s="144"/>
      <c r="B28" s="133"/>
      <c r="C28" s="133"/>
      <c r="D28" s="133"/>
      <c r="E28" s="133"/>
      <c r="F28" s="133"/>
      <c r="G28" s="133"/>
      <c r="H28" s="133"/>
      <c r="I28" s="133"/>
      <c r="J28" s="133"/>
      <c r="K28" s="133"/>
      <c r="L28" s="133"/>
      <c r="M28" s="133"/>
      <c r="N28" s="133"/>
      <c r="O28" s="133"/>
      <c r="P28" s="133"/>
      <c r="Q28" s="133"/>
      <c r="R28" s="133"/>
    </row>
    <row r="29" spans="1:18">
      <c r="A29" s="142" t="s">
        <v>674</v>
      </c>
      <c r="B29" s="143" t="s">
        <v>675</v>
      </c>
      <c r="C29" s="133"/>
      <c r="D29" s="133"/>
      <c r="E29" s="133"/>
      <c r="F29" s="143" t="s">
        <v>676</v>
      </c>
      <c r="G29" s="143" t="s">
        <v>677</v>
      </c>
      <c r="H29" s="133"/>
      <c r="I29" s="133"/>
      <c r="J29" s="133"/>
      <c r="K29" s="133"/>
      <c r="L29" s="133"/>
      <c r="M29" s="133"/>
      <c r="N29" s="133"/>
      <c r="O29" s="133"/>
      <c r="P29" s="133"/>
      <c r="Q29" s="133"/>
      <c r="R29" s="133"/>
    </row>
    <row r="30" spans="1:18">
      <c r="A30" s="144"/>
      <c r="B30" s="133"/>
      <c r="C30" s="133"/>
      <c r="D30" s="133"/>
      <c r="E30" s="133"/>
      <c r="F30" s="133"/>
      <c r="G30" s="133"/>
      <c r="H30" s="133"/>
      <c r="I30" s="133"/>
      <c r="J30" s="133"/>
      <c r="K30" s="133"/>
      <c r="L30" s="133"/>
      <c r="M30" s="133"/>
      <c r="N30" s="133"/>
      <c r="O30" s="133"/>
      <c r="P30" s="133"/>
      <c r="Q30" s="133"/>
      <c r="R30" s="133"/>
    </row>
    <row r="31" spans="1:18">
      <c r="A31" s="142" t="s">
        <v>678</v>
      </c>
      <c r="B31" s="143" t="s">
        <v>679</v>
      </c>
      <c r="C31" s="133"/>
      <c r="D31" s="133"/>
      <c r="E31" s="133"/>
      <c r="F31" s="143" t="s">
        <v>680</v>
      </c>
      <c r="G31" s="143" t="s">
        <v>681</v>
      </c>
      <c r="H31" s="133"/>
      <c r="I31" s="133"/>
      <c r="J31" s="133"/>
      <c r="K31" s="133"/>
      <c r="L31" s="133"/>
      <c r="M31" s="133"/>
      <c r="N31" s="133"/>
      <c r="O31" s="133"/>
      <c r="P31" s="133"/>
      <c r="Q31" s="133"/>
      <c r="R31" s="133"/>
    </row>
    <row r="32" spans="1:18">
      <c r="A32" s="144"/>
      <c r="B32" s="133"/>
      <c r="C32" s="133"/>
      <c r="D32" s="133"/>
      <c r="E32" s="133"/>
      <c r="F32" s="133"/>
      <c r="G32" s="133"/>
      <c r="H32" s="133"/>
      <c r="I32" s="133"/>
      <c r="J32" s="133"/>
      <c r="K32" s="133"/>
      <c r="L32" s="133"/>
      <c r="M32" s="133"/>
      <c r="N32" s="133"/>
      <c r="O32" s="133"/>
      <c r="P32" s="133"/>
      <c r="Q32" s="133"/>
      <c r="R32" s="133"/>
    </row>
    <row r="33" spans="1:18">
      <c r="A33" s="142" t="s">
        <v>682</v>
      </c>
      <c r="B33" s="143" t="s">
        <v>683</v>
      </c>
      <c r="C33" s="133"/>
      <c r="D33" s="133"/>
      <c r="E33" s="133"/>
      <c r="F33" s="143" t="s">
        <v>684</v>
      </c>
      <c r="G33" s="143" t="s">
        <v>685</v>
      </c>
      <c r="H33" s="133"/>
      <c r="I33" s="133"/>
      <c r="J33" s="133"/>
      <c r="K33" s="133"/>
      <c r="L33" s="133"/>
      <c r="M33" s="133"/>
      <c r="N33" s="133"/>
      <c r="O33" s="133"/>
      <c r="P33" s="133"/>
      <c r="Q33" s="133"/>
      <c r="R33" s="133"/>
    </row>
    <row r="34" spans="1:18">
      <c r="A34" s="133"/>
      <c r="B34" s="133"/>
      <c r="C34" s="133"/>
      <c r="D34" s="133"/>
      <c r="E34" s="133"/>
      <c r="F34" s="133"/>
      <c r="G34" s="133"/>
      <c r="H34" s="133"/>
      <c r="I34" s="133"/>
      <c r="J34" s="133"/>
      <c r="K34" s="133"/>
      <c r="L34" s="133"/>
      <c r="M34" s="133"/>
      <c r="N34" s="133"/>
      <c r="O34" s="133"/>
      <c r="P34" s="133"/>
      <c r="Q34" s="133"/>
      <c r="R34" s="133"/>
    </row>
    <row r="36" spans="1:18">
      <c r="A36" s="26" t="s">
        <v>778</v>
      </c>
    </row>
    <row r="37" spans="1:18">
      <c r="A37" s="26" t="s">
        <v>779</v>
      </c>
    </row>
    <row r="38" spans="1:18">
      <c r="A38" s="24" t="s">
        <v>699</v>
      </c>
    </row>
    <row r="40" spans="1:18">
      <c r="B40" s="28" t="s">
        <v>697</v>
      </c>
      <c r="C40" s="28"/>
      <c r="D40" s="28"/>
      <c r="E40" s="28"/>
      <c r="F40" s="28"/>
    </row>
    <row r="41" spans="1:18">
      <c r="B41" s="28" t="s">
        <v>780</v>
      </c>
      <c r="C41" s="28"/>
      <c r="D41" s="28"/>
      <c r="E41" s="28"/>
      <c r="F41" s="28"/>
    </row>
    <row r="42" spans="1:18">
      <c r="B42" s="28" t="s">
        <v>698</v>
      </c>
      <c r="C42" s="28"/>
      <c r="D42" s="28"/>
      <c r="E42" s="28"/>
      <c r="F42" s="28"/>
    </row>
    <row r="44" spans="1:18">
      <c r="A44" s="26" t="s">
        <v>781</v>
      </c>
    </row>
    <row r="45" spans="1:18">
      <c r="A45" s="26" t="s">
        <v>782</v>
      </c>
    </row>
    <row r="48" spans="1:18" customFormat="1">
      <c r="A48" s="16" t="s">
        <v>571</v>
      </c>
      <c r="C48" s="1"/>
      <c r="O48" s="262" t="s">
        <v>700</v>
      </c>
      <c r="P48" s="263"/>
    </row>
    <row r="49" spans="1:16" customFormat="1">
      <c r="A49" s="97" t="s">
        <v>701</v>
      </c>
      <c r="C49" s="113" t="s">
        <v>191</v>
      </c>
      <c r="D49" s="100" t="s">
        <v>255</v>
      </c>
      <c r="E49" s="101" t="s">
        <v>256</v>
      </c>
      <c r="F49" s="101" t="s">
        <v>257</v>
      </c>
      <c r="G49" s="101" t="s">
        <v>702</v>
      </c>
      <c r="H49" s="101" t="s">
        <v>703</v>
      </c>
      <c r="I49" s="101" t="s">
        <v>704</v>
      </c>
      <c r="J49" s="101" t="s">
        <v>705</v>
      </c>
      <c r="K49" s="101" t="s">
        <v>706</v>
      </c>
      <c r="L49" s="101" t="s">
        <v>707</v>
      </c>
      <c r="M49" s="101" t="s">
        <v>708</v>
      </c>
    </row>
    <row r="50" spans="1:16" customFormat="1">
      <c r="A50" s="2" t="s">
        <v>709</v>
      </c>
      <c r="C50" s="110">
        <f t="shared" ref="C50:C51" si="0">SUM(D50:M50)</f>
        <v>0</v>
      </c>
      <c r="D50" s="102"/>
      <c r="E50" s="103"/>
      <c r="F50" s="103"/>
      <c r="G50" s="103"/>
      <c r="H50" s="103"/>
      <c r="I50" s="103"/>
      <c r="J50" s="103"/>
      <c r="K50" s="103"/>
      <c r="L50" s="103"/>
      <c r="M50" s="103"/>
      <c r="O50" s="264"/>
      <c r="P50" s="248"/>
    </row>
    <row r="51" spans="1:16" customFormat="1">
      <c r="A51" s="2" t="s">
        <v>710</v>
      </c>
      <c r="C51" s="112">
        <f t="shared" si="0"/>
        <v>0</v>
      </c>
      <c r="D51" s="108"/>
      <c r="E51" s="109"/>
      <c r="F51" s="109"/>
      <c r="G51" s="109"/>
      <c r="H51" s="109"/>
      <c r="I51" s="109"/>
      <c r="J51" s="109"/>
      <c r="K51" s="109"/>
      <c r="L51" s="109"/>
      <c r="M51" s="109"/>
      <c r="O51" s="264"/>
      <c r="P51" s="248"/>
    </row>
    <row r="52" spans="1:16" customFormat="1">
      <c r="A52" s="97" t="s">
        <v>711</v>
      </c>
      <c r="C52" s="110">
        <f t="shared" ref="C52:M52" si="1">SUM(C50:C51)</f>
        <v>0</v>
      </c>
      <c r="D52" s="115">
        <f t="shared" si="1"/>
        <v>0</v>
      </c>
      <c r="E52" s="110">
        <f t="shared" si="1"/>
        <v>0</v>
      </c>
      <c r="F52" s="110">
        <f t="shared" si="1"/>
        <v>0</v>
      </c>
      <c r="G52" s="110">
        <f t="shared" si="1"/>
        <v>0</v>
      </c>
      <c r="H52" s="110">
        <f t="shared" si="1"/>
        <v>0</v>
      </c>
      <c r="I52" s="110">
        <f t="shared" si="1"/>
        <v>0</v>
      </c>
      <c r="J52" s="110">
        <f t="shared" si="1"/>
        <v>0</v>
      </c>
      <c r="K52" s="110">
        <f t="shared" si="1"/>
        <v>0</v>
      </c>
      <c r="L52" s="110">
        <f t="shared" si="1"/>
        <v>0</v>
      </c>
      <c r="M52" s="110">
        <f t="shared" si="1"/>
        <v>0</v>
      </c>
      <c r="O52" s="265"/>
      <c r="P52" s="247"/>
    </row>
    <row r="53" spans="1:16" customFormat="1">
      <c r="C53" s="23"/>
      <c r="D53" s="6"/>
      <c r="E53" s="6"/>
      <c r="F53" s="6"/>
      <c r="G53" s="6"/>
      <c r="H53" s="6"/>
      <c r="I53" s="6"/>
      <c r="J53" s="6"/>
      <c r="K53" s="6"/>
      <c r="L53" s="6"/>
      <c r="M53" s="6"/>
      <c r="O53" s="265"/>
      <c r="P53" s="247"/>
    </row>
    <row r="54" spans="1:16" customFormat="1">
      <c r="A54" s="1" t="s">
        <v>712</v>
      </c>
      <c r="C54" s="113" t="s">
        <v>191</v>
      </c>
      <c r="D54" s="100" t="s">
        <v>255</v>
      </c>
      <c r="E54" s="101" t="s">
        <v>256</v>
      </c>
      <c r="F54" s="101" t="s">
        <v>257</v>
      </c>
      <c r="G54" s="101" t="s">
        <v>702</v>
      </c>
      <c r="H54" s="101" t="s">
        <v>703</v>
      </c>
      <c r="I54" s="101" t="s">
        <v>704</v>
      </c>
      <c r="J54" s="101" t="s">
        <v>705</v>
      </c>
      <c r="K54" s="101" t="s">
        <v>706</v>
      </c>
      <c r="L54" s="101" t="s">
        <v>707</v>
      </c>
      <c r="M54" s="101" t="s">
        <v>708</v>
      </c>
      <c r="O54" s="265"/>
      <c r="P54" s="247"/>
    </row>
    <row r="55" spans="1:16" customFormat="1">
      <c r="A55" s="2" t="s">
        <v>709</v>
      </c>
      <c r="C55" s="117">
        <f t="shared" ref="C55:C56" si="2">SUM(D55:M55)</f>
        <v>0</v>
      </c>
      <c r="D55" s="102"/>
      <c r="E55" s="103"/>
      <c r="F55" s="103"/>
      <c r="G55" s="103"/>
      <c r="H55" s="103"/>
      <c r="I55" s="103"/>
      <c r="J55" s="103"/>
      <c r="K55" s="103"/>
      <c r="L55" s="103"/>
      <c r="M55" s="103"/>
      <c r="O55" s="264"/>
      <c r="P55" s="248"/>
    </row>
    <row r="56" spans="1:16" customFormat="1">
      <c r="A56" s="2" t="s">
        <v>710</v>
      </c>
      <c r="C56" s="112">
        <f t="shared" si="2"/>
        <v>0</v>
      </c>
      <c r="D56" s="108"/>
      <c r="E56" s="109"/>
      <c r="F56" s="109"/>
      <c r="G56" s="109"/>
      <c r="H56" s="109"/>
      <c r="I56" s="109"/>
      <c r="J56" s="109"/>
      <c r="K56" s="109"/>
      <c r="L56" s="109"/>
      <c r="M56" s="109"/>
      <c r="O56" s="264"/>
      <c r="P56" s="248"/>
    </row>
    <row r="57" spans="1:16" customFormat="1">
      <c r="A57" s="97" t="s">
        <v>713</v>
      </c>
      <c r="C57" s="110">
        <f t="shared" ref="C57:M57" si="3">SUM(C55:C56)</f>
        <v>0</v>
      </c>
      <c r="D57" s="115">
        <f t="shared" si="3"/>
        <v>0</v>
      </c>
      <c r="E57" s="110">
        <f t="shared" si="3"/>
        <v>0</v>
      </c>
      <c r="F57" s="110">
        <f t="shared" si="3"/>
        <v>0</v>
      </c>
      <c r="G57" s="110">
        <f t="shared" si="3"/>
        <v>0</v>
      </c>
      <c r="H57" s="110">
        <f t="shared" si="3"/>
        <v>0</v>
      </c>
      <c r="I57" s="110">
        <f t="shared" si="3"/>
        <v>0</v>
      </c>
      <c r="J57" s="110">
        <f t="shared" si="3"/>
        <v>0</v>
      </c>
      <c r="K57" s="110">
        <f t="shared" si="3"/>
        <v>0</v>
      </c>
      <c r="L57" s="110">
        <f t="shared" si="3"/>
        <v>0</v>
      </c>
      <c r="M57" s="110">
        <f t="shared" si="3"/>
        <v>0</v>
      </c>
      <c r="O57" s="265"/>
      <c r="P57" s="247"/>
    </row>
    <row r="58" spans="1:16" customFormat="1">
      <c r="C58" s="23"/>
      <c r="D58" s="6"/>
      <c r="E58" s="6"/>
      <c r="F58" s="6"/>
      <c r="G58" s="6"/>
      <c r="H58" s="6"/>
      <c r="I58" s="6"/>
      <c r="J58" s="6"/>
      <c r="K58" s="6"/>
      <c r="L58" s="6"/>
      <c r="M58" s="6"/>
      <c r="O58" s="265"/>
      <c r="P58" s="247"/>
    </row>
    <row r="59" spans="1:16" customFormat="1">
      <c r="A59" s="16" t="s">
        <v>714</v>
      </c>
      <c r="C59" s="110">
        <f t="shared" ref="C59:M59" si="4">C57+C52</f>
        <v>0</v>
      </c>
      <c r="D59" s="110">
        <f t="shared" si="4"/>
        <v>0</v>
      </c>
      <c r="E59" s="110">
        <f t="shared" si="4"/>
        <v>0</v>
      </c>
      <c r="F59" s="110">
        <f t="shared" si="4"/>
        <v>0</v>
      </c>
      <c r="G59" s="110">
        <f t="shared" si="4"/>
        <v>0</v>
      </c>
      <c r="H59" s="110">
        <f t="shared" si="4"/>
        <v>0</v>
      </c>
      <c r="I59" s="110">
        <f t="shared" si="4"/>
        <v>0</v>
      </c>
      <c r="J59" s="110">
        <f t="shared" si="4"/>
        <v>0</v>
      </c>
      <c r="K59" s="110">
        <f t="shared" si="4"/>
        <v>0</v>
      </c>
      <c r="L59" s="110">
        <f t="shared" si="4"/>
        <v>0</v>
      </c>
      <c r="M59" s="110">
        <f t="shared" si="4"/>
        <v>0</v>
      </c>
      <c r="O59" s="265"/>
      <c r="P59" s="247"/>
    </row>
    <row r="60" spans="1:16" customFormat="1">
      <c r="C60" s="23"/>
      <c r="D60" s="6"/>
      <c r="E60" s="6"/>
      <c r="F60" s="6"/>
      <c r="G60" s="6"/>
      <c r="H60" s="6"/>
      <c r="I60" s="6"/>
      <c r="J60" s="6"/>
      <c r="K60" s="6"/>
      <c r="L60" s="6"/>
      <c r="M60" s="6"/>
      <c r="O60" s="265"/>
      <c r="P60" s="247"/>
    </row>
    <row r="61" spans="1:16" customFormat="1">
      <c r="A61" s="1" t="s">
        <v>715</v>
      </c>
      <c r="C61" s="113" t="s">
        <v>191</v>
      </c>
      <c r="D61" s="100" t="s">
        <v>255</v>
      </c>
      <c r="E61" s="101" t="s">
        <v>256</v>
      </c>
      <c r="F61" s="101" t="s">
        <v>257</v>
      </c>
      <c r="G61" s="101" t="s">
        <v>702</v>
      </c>
      <c r="H61" s="101" t="s">
        <v>703</v>
      </c>
      <c r="I61" s="101" t="s">
        <v>704</v>
      </c>
      <c r="J61" s="101" t="s">
        <v>705</v>
      </c>
      <c r="K61" s="101" t="s">
        <v>706</v>
      </c>
      <c r="L61" s="101" t="s">
        <v>707</v>
      </c>
      <c r="M61" s="101" t="s">
        <v>708</v>
      </c>
      <c r="O61" s="265"/>
      <c r="P61" s="247"/>
    </row>
    <row r="62" spans="1:16" customFormat="1">
      <c r="A62" s="2" t="s">
        <v>709</v>
      </c>
      <c r="C62" s="110">
        <f t="shared" ref="C62:C63" si="5">SUM(D62:M62)</f>
        <v>0</v>
      </c>
      <c r="D62" s="102"/>
      <c r="E62" s="103"/>
      <c r="F62" s="103"/>
      <c r="G62" s="103"/>
      <c r="H62" s="103"/>
      <c r="I62" s="103"/>
      <c r="J62" s="103"/>
      <c r="K62" s="103"/>
      <c r="L62" s="103"/>
      <c r="M62" s="103"/>
      <c r="O62" s="264"/>
      <c r="P62" s="248"/>
    </row>
    <row r="63" spans="1:16" customFormat="1">
      <c r="A63" s="2" t="s">
        <v>710</v>
      </c>
      <c r="C63" s="112">
        <f t="shared" si="5"/>
        <v>0</v>
      </c>
      <c r="D63" s="108"/>
      <c r="E63" s="109"/>
      <c r="F63" s="109"/>
      <c r="G63" s="109"/>
      <c r="H63" s="109"/>
      <c r="I63" s="109"/>
      <c r="J63" s="109"/>
      <c r="K63" s="109"/>
      <c r="L63" s="109"/>
      <c r="M63" s="109"/>
      <c r="O63" s="264"/>
      <c r="P63" s="248"/>
    </row>
    <row r="64" spans="1:16" customFormat="1">
      <c r="A64" s="97" t="s">
        <v>716</v>
      </c>
      <c r="C64" s="110">
        <f>SUM(C62:C63)</f>
        <v>0</v>
      </c>
      <c r="D64" s="115">
        <f t="shared" ref="D64:M64" si="6">SUM(D62:D63)</f>
        <v>0</v>
      </c>
      <c r="E64" s="110">
        <f t="shared" si="6"/>
        <v>0</v>
      </c>
      <c r="F64" s="110">
        <f t="shared" si="6"/>
        <v>0</v>
      </c>
      <c r="G64" s="110">
        <f t="shared" si="6"/>
        <v>0</v>
      </c>
      <c r="H64" s="110">
        <f t="shared" si="6"/>
        <v>0</v>
      </c>
      <c r="I64" s="110">
        <f t="shared" si="6"/>
        <v>0</v>
      </c>
      <c r="J64" s="110">
        <f t="shared" si="6"/>
        <v>0</v>
      </c>
      <c r="K64" s="110">
        <f t="shared" si="6"/>
        <v>0</v>
      </c>
      <c r="L64" s="110">
        <f t="shared" si="6"/>
        <v>0</v>
      </c>
      <c r="M64" s="110">
        <f t="shared" si="6"/>
        <v>0</v>
      </c>
      <c r="O64" s="265"/>
      <c r="P64" s="247"/>
    </row>
    <row r="65" spans="1:21" customFormat="1">
      <c r="C65" s="23"/>
      <c r="D65" s="6"/>
      <c r="E65" s="6"/>
      <c r="F65" s="6"/>
      <c r="G65" s="6"/>
      <c r="H65" s="6"/>
      <c r="I65" s="6"/>
      <c r="J65" s="6"/>
      <c r="K65" s="6"/>
      <c r="L65" s="6"/>
      <c r="M65" s="6"/>
      <c r="O65" s="265"/>
      <c r="P65" s="247"/>
    </row>
    <row r="66" spans="1:21" customFormat="1">
      <c r="A66" s="16" t="s">
        <v>717</v>
      </c>
      <c r="C66" s="113" t="s">
        <v>191</v>
      </c>
      <c r="D66" s="100" t="s">
        <v>255</v>
      </c>
      <c r="E66" s="101" t="s">
        <v>256</v>
      </c>
      <c r="F66" s="101" t="s">
        <v>257</v>
      </c>
      <c r="G66" s="101" t="s">
        <v>702</v>
      </c>
      <c r="H66" s="101" t="s">
        <v>703</v>
      </c>
      <c r="I66" s="101" t="s">
        <v>704</v>
      </c>
      <c r="J66" s="101" t="s">
        <v>705</v>
      </c>
      <c r="K66" s="101" t="s">
        <v>706</v>
      </c>
      <c r="L66" s="101" t="s">
        <v>707</v>
      </c>
      <c r="M66" s="101" t="s">
        <v>708</v>
      </c>
      <c r="O66" s="265"/>
      <c r="P66" s="247"/>
    </row>
    <row r="67" spans="1:21" customFormat="1">
      <c r="A67" s="2" t="s">
        <v>515</v>
      </c>
      <c r="C67" s="117">
        <f t="shared" ref="C67:C72" si="7">SUM(D67:M67)</f>
        <v>0</v>
      </c>
      <c r="D67" s="102"/>
      <c r="E67" s="103"/>
      <c r="F67" s="103"/>
      <c r="G67" s="103"/>
      <c r="H67" s="103"/>
      <c r="I67" s="103"/>
      <c r="J67" s="103"/>
      <c r="K67" s="103"/>
      <c r="L67" s="103"/>
      <c r="M67" s="103"/>
      <c r="O67" s="264"/>
      <c r="P67" s="248"/>
    </row>
    <row r="68" spans="1:21" customFormat="1">
      <c r="A68" s="3" t="s">
        <v>718</v>
      </c>
      <c r="C68" s="110">
        <f t="shared" si="7"/>
        <v>0</v>
      </c>
      <c r="D68" s="102"/>
      <c r="E68" s="103"/>
      <c r="F68" s="103"/>
      <c r="G68" s="103"/>
      <c r="H68" s="103"/>
      <c r="I68" s="103"/>
      <c r="J68" s="103"/>
      <c r="K68" s="103"/>
      <c r="L68" s="103"/>
      <c r="M68" s="103"/>
      <c r="O68" s="264"/>
      <c r="P68" s="248"/>
    </row>
    <row r="69" spans="1:21" customFormat="1">
      <c r="A69" s="2" t="s">
        <v>719</v>
      </c>
      <c r="C69" s="110">
        <f t="shared" si="7"/>
        <v>0</v>
      </c>
      <c r="D69" s="102"/>
      <c r="E69" s="103"/>
      <c r="F69" s="103"/>
      <c r="G69" s="103"/>
      <c r="H69" s="103"/>
      <c r="I69" s="103"/>
      <c r="J69" s="103"/>
      <c r="K69" s="103"/>
      <c r="L69" s="103"/>
      <c r="M69" s="103"/>
      <c r="O69" s="264"/>
      <c r="P69" s="248"/>
    </row>
    <row r="70" spans="1:21" customFormat="1">
      <c r="A70" s="2" t="s">
        <v>720</v>
      </c>
      <c r="C70" s="110">
        <f t="shared" si="7"/>
        <v>0</v>
      </c>
      <c r="D70" s="102"/>
      <c r="E70" s="103"/>
      <c r="F70" s="103"/>
      <c r="G70" s="103"/>
      <c r="H70" s="103"/>
      <c r="I70" s="103"/>
      <c r="J70" s="103"/>
      <c r="K70" s="103"/>
      <c r="L70" s="103"/>
      <c r="M70" s="103"/>
      <c r="O70" s="264"/>
      <c r="P70" s="248"/>
    </row>
    <row r="71" spans="1:21" customFormat="1">
      <c r="A71" s="2" t="s">
        <v>721</v>
      </c>
      <c r="C71" s="110">
        <f t="shared" si="7"/>
        <v>0</v>
      </c>
      <c r="D71" s="102"/>
      <c r="E71" s="103"/>
      <c r="F71" s="103"/>
      <c r="G71" s="103"/>
      <c r="H71" s="103"/>
      <c r="I71" s="103"/>
      <c r="J71" s="103"/>
      <c r="K71" s="103"/>
      <c r="L71" s="103"/>
      <c r="M71" s="103"/>
      <c r="O71" s="264"/>
      <c r="P71" s="248"/>
    </row>
    <row r="72" spans="1:21" customFormat="1">
      <c r="A72" s="2" t="s">
        <v>722</v>
      </c>
      <c r="C72" s="110">
        <f t="shared" si="7"/>
        <v>0</v>
      </c>
      <c r="D72" s="102"/>
      <c r="E72" s="103"/>
      <c r="F72" s="103"/>
      <c r="G72" s="103"/>
      <c r="H72" s="103"/>
      <c r="I72" s="103"/>
      <c r="J72" s="103"/>
      <c r="K72" s="103"/>
      <c r="L72" s="103"/>
      <c r="M72" s="103"/>
      <c r="O72" s="264"/>
      <c r="P72" s="248"/>
    </row>
    <row r="73" spans="1:21" customFormat="1">
      <c r="A73" s="1"/>
      <c r="C73" s="6"/>
      <c r="D73" s="6"/>
      <c r="E73" s="6"/>
      <c r="F73" s="6"/>
      <c r="G73" s="6"/>
      <c r="H73" s="6"/>
      <c r="I73" s="6"/>
      <c r="J73" s="6"/>
      <c r="K73" s="6"/>
      <c r="L73" s="6"/>
      <c r="M73" s="6"/>
    </row>
    <row r="74" spans="1:21" customFormat="1">
      <c r="A74" s="16" t="s">
        <v>723</v>
      </c>
      <c r="C74" s="110">
        <f t="shared" ref="C74:M74" si="8">SUM(C67:C72)</f>
        <v>0</v>
      </c>
      <c r="D74" s="110">
        <f t="shared" si="8"/>
        <v>0</v>
      </c>
      <c r="E74" s="110">
        <f t="shared" si="8"/>
        <v>0</v>
      </c>
      <c r="F74" s="110">
        <f t="shared" si="8"/>
        <v>0</v>
      </c>
      <c r="G74" s="110">
        <f t="shared" si="8"/>
        <v>0</v>
      </c>
      <c r="H74" s="110">
        <f t="shared" si="8"/>
        <v>0</v>
      </c>
      <c r="I74" s="110">
        <f t="shared" si="8"/>
        <v>0</v>
      </c>
      <c r="J74" s="110">
        <f t="shared" si="8"/>
        <v>0</v>
      </c>
      <c r="K74" s="110">
        <f t="shared" si="8"/>
        <v>0</v>
      </c>
      <c r="L74" s="110">
        <f t="shared" si="8"/>
        <v>0</v>
      </c>
      <c r="M74" s="110">
        <f t="shared" si="8"/>
        <v>0</v>
      </c>
    </row>
    <row r="75" spans="1:21" customFormat="1" ht="15.75" customHeight="1"/>
    <row r="76" spans="1:21" customFormat="1">
      <c r="C76" s="116" t="s">
        <v>724</v>
      </c>
      <c r="D76" s="110">
        <f>D74-D59-D64-D52</f>
        <v>0</v>
      </c>
      <c r="E76" s="110">
        <f t="shared" ref="E76:M76" si="9">E74-E59-E64</f>
        <v>0</v>
      </c>
      <c r="F76" s="110">
        <f t="shared" si="9"/>
        <v>0</v>
      </c>
      <c r="G76" s="110">
        <f t="shared" si="9"/>
        <v>0</v>
      </c>
      <c r="H76" s="110">
        <f t="shared" si="9"/>
        <v>0</v>
      </c>
      <c r="I76" s="110">
        <f t="shared" si="9"/>
        <v>0</v>
      </c>
      <c r="J76" s="110">
        <f t="shared" si="9"/>
        <v>0</v>
      </c>
      <c r="K76" s="110">
        <f t="shared" si="9"/>
        <v>0</v>
      </c>
      <c r="L76" s="110">
        <f t="shared" si="9"/>
        <v>0</v>
      </c>
      <c r="M76" s="110">
        <f t="shared" si="9"/>
        <v>0</v>
      </c>
    </row>
    <row r="77" spans="1:21" customFormat="1">
      <c r="C77" s="116" t="s">
        <v>725</v>
      </c>
      <c r="D77" s="110">
        <f>D76</f>
        <v>0</v>
      </c>
      <c r="E77" s="110">
        <f t="shared" ref="E77:M77" si="10">D77+E76</f>
        <v>0</v>
      </c>
      <c r="F77" s="110">
        <f t="shared" si="10"/>
        <v>0</v>
      </c>
      <c r="G77" s="110">
        <f t="shared" si="10"/>
        <v>0</v>
      </c>
      <c r="H77" s="110">
        <f t="shared" si="10"/>
        <v>0</v>
      </c>
      <c r="I77" s="110">
        <f t="shared" si="10"/>
        <v>0</v>
      </c>
      <c r="J77" s="110">
        <f t="shared" si="10"/>
        <v>0</v>
      </c>
      <c r="K77" s="110">
        <f t="shared" si="10"/>
        <v>0</v>
      </c>
      <c r="L77" s="110">
        <f t="shared" si="10"/>
        <v>0</v>
      </c>
      <c r="M77" s="110">
        <f t="shared" si="10"/>
        <v>0</v>
      </c>
    </row>
    <row r="78" spans="1:21" customFormat="1" ht="15.75" customHeight="1"/>
    <row r="79" spans="1:21" customFormat="1" ht="15.75" customHeight="1"/>
    <row r="80" spans="1:21" customFormat="1">
      <c r="A80" s="4" t="s">
        <v>765</v>
      </c>
      <c r="B80" s="104"/>
      <c r="C80" s="104"/>
      <c r="D80" s="104"/>
      <c r="E80" s="104"/>
      <c r="F80" s="104"/>
      <c r="G80" s="104"/>
      <c r="H80" s="104"/>
      <c r="I80" s="104"/>
      <c r="J80" s="104"/>
      <c r="K80" s="104"/>
      <c r="L80" s="104"/>
      <c r="M80" s="104"/>
      <c r="N80" s="104"/>
      <c r="O80" s="104"/>
      <c r="P80" s="104"/>
      <c r="Q80" s="104"/>
      <c r="R80" s="104"/>
      <c r="S80" s="2"/>
      <c r="T80" s="2"/>
      <c r="U80" s="2"/>
    </row>
    <row r="81" spans="1:16" customFormat="1" ht="15.75" customHeight="1"/>
    <row r="82" spans="1:16" customFormat="1">
      <c r="A82" s="2" t="s">
        <v>770</v>
      </c>
    </row>
    <row r="83" spans="1:16" customFormat="1">
      <c r="A83" s="2" t="s">
        <v>771</v>
      </c>
    </row>
    <row r="84" spans="1:16" customFormat="1">
      <c r="A84" s="2"/>
    </row>
    <row r="85" spans="1:16" customFormat="1">
      <c r="A85" s="2" t="s">
        <v>772</v>
      </c>
      <c r="C85" s="2" t="s">
        <v>726</v>
      </c>
      <c r="E85" s="107">
        <f>O112*O111</f>
        <v>300</v>
      </c>
    </row>
    <row r="86" spans="1:16" customFormat="1">
      <c r="A86" s="2" t="s">
        <v>727</v>
      </c>
      <c r="E86" s="107">
        <f>C102-C114</f>
        <v>400000</v>
      </c>
    </row>
    <row r="87" spans="1:16" customFormat="1">
      <c r="A87" s="2" t="s">
        <v>728</v>
      </c>
      <c r="C87" s="2" t="s">
        <v>729</v>
      </c>
      <c r="E87" s="106">
        <f>ROUNDUP(E86/E85,0)</f>
        <v>1334</v>
      </c>
    </row>
    <row r="88" spans="1:16" customFormat="1" ht="15.75" customHeight="1"/>
    <row r="89" spans="1:16" customFormat="1">
      <c r="A89" s="16" t="s">
        <v>571</v>
      </c>
      <c r="C89" s="1"/>
      <c r="O89" s="262" t="s">
        <v>700</v>
      </c>
      <c r="P89" s="263"/>
    </row>
    <row r="90" spans="1:16" customFormat="1">
      <c r="A90" s="97" t="s">
        <v>701</v>
      </c>
      <c r="C90" s="119" t="s">
        <v>191</v>
      </c>
      <c r="D90" s="100" t="s">
        <v>255</v>
      </c>
      <c r="E90" s="101" t="s">
        <v>256</v>
      </c>
      <c r="F90" s="101" t="s">
        <v>257</v>
      </c>
      <c r="G90" s="101" t="s">
        <v>702</v>
      </c>
      <c r="H90" s="101" t="s">
        <v>703</v>
      </c>
      <c r="I90" s="101" t="s">
        <v>704</v>
      </c>
      <c r="J90" s="101" t="s">
        <v>705</v>
      </c>
      <c r="K90" s="101" t="s">
        <v>706</v>
      </c>
      <c r="L90" s="101" t="s">
        <v>707</v>
      </c>
      <c r="M90" s="101" t="s">
        <v>708</v>
      </c>
    </row>
    <row r="91" spans="1:16" customFormat="1">
      <c r="A91" s="2" t="s">
        <v>709</v>
      </c>
      <c r="C91" s="110">
        <f t="shared" ref="C91:C92" si="11">SUM(D91:M91)</f>
        <v>0</v>
      </c>
      <c r="D91" s="102"/>
      <c r="E91" s="103"/>
      <c r="F91" s="103"/>
      <c r="G91" s="103"/>
      <c r="H91" s="103"/>
      <c r="I91" s="103"/>
      <c r="J91" s="103"/>
      <c r="K91" s="103"/>
      <c r="L91" s="103"/>
      <c r="M91" s="103"/>
      <c r="O91" s="264" t="s">
        <v>730</v>
      </c>
      <c r="P91" s="248"/>
    </row>
    <row r="92" spans="1:16" customFormat="1">
      <c r="A92" s="2" t="s">
        <v>710</v>
      </c>
      <c r="C92" s="110">
        <f t="shared" si="11"/>
        <v>0</v>
      </c>
      <c r="D92" s="108"/>
      <c r="E92" s="109"/>
      <c r="F92" s="109"/>
      <c r="G92" s="109"/>
      <c r="H92" s="109"/>
      <c r="I92" s="109"/>
      <c r="J92" s="109"/>
      <c r="K92" s="109"/>
      <c r="L92" s="109"/>
      <c r="M92" s="109"/>
      <c r="O92" s="264" t="s">
        <v>730</v>
      </c>
      <c r="P92" s="248"/>
    </row>
    <row r="93" spans="1:16" customFormat="1">
      <c r="A93" s="97" t="s">
        <v>711</v>
      </c>
      <c r="C93" s="110">
        <f>C91+C92</f>
        <v>0</v>
      </c>
      <c r="D93" s="115">
        <f t="shared" ref="D93:M93" si="12">SUM(D91:D92)</f>
        <v>0</v>
      </c>
      <c r="E93" s="110">
        <f t="shared" si="12"/>
        <v>0</v>
      </c>
      <c r="F93" s="110">
        <f t="shared" si="12"/>
        <v>0</v>
      </c>
      <c r="G93" s="110">
        <f t="shared" si="12"/>
        <v>0</v>
      </c>
      <c r="H93" s="110">
        <f t="shared" si="12"/>
        <v>0</v>
      </c>
      <c r="I93" s="110">
        <f t="shared" si="12"/>
        <v>0</v>
      </c>
      <c r="J93" s="110">
        <f t="shared" si="12"/>
        <v>0</v>
      </c>
      <c r="K93" s="110">
        <f t="shared" si="12"/>
        <v>0</v>
      </c>
      <c r="L93" s="110">
        <f t="shared" si="12"/>
        <v>0</v>
      </c>
      <c r="M93" s="110">
        <f t="shared" si="12"/>
        <v>0</v>
      </c>
      <c r="O93" s="265"/>
      <c r="P93" s="247"/>
    </row>
    <row r="94" spans="1:16" customFormat="1">
      <c r="C94" s="23"/>
      <c r="D94" s="6"/>
      <c r="E94" s="6"/>
      <c r="F94" s="6"/>
      <c r="G94" s="6"/>
      <c r="H94" s="6"/>
      <c r="I94" s="6"/>
      <c r="J94" s="6"/>
      <c r="K94" s="6"/>
      <c r="L94" s="6"/>
      <c r="M94" s="6"/>
      <c r="O94" s="265"/>
      <c r="P94" s="247"/>
    </row>
    <row r="95" spans="1:16" customFormat="1">
      <c r="A95" s="1" t="s">
        <v>712</v>
      </c>
      <c r="C95" s="119" t="s">
        <v>191</v>
      </c>
      <c r="D95" s="113" t="s">
        <v>255</v>
      </c>
      <c r="E95" s="113" t="s">
        <v>256</v>
      </c>
      <c r="F95" s="113" t="s">
        <v>257</v>
      </c>
      <c r="G95" s="113" t="s">
        <v>702</v>
      </c>
      <c r="H95" s="113" t="s">
        <v>703</v>
      </c>
      <c r="I95" s="113" t="s">
        <v>704</v>
      </c>
      <c r="J95" s="113" t="s">
        <v>705</v>
      </c>
      <c r="K95" s="113" t="s">
        <v>706</v>
      </c>
      <c r="L95" s="113" t="s">
        <v>707</v>
      </c>
      <c r="M95" s="113" t="s">
        <v>708</v>
      </c>
      <c r="O95" s="265"/>
      <c r="P95" s="247"/>
    </row>
    <row r="96" spans="1:16" customFormat="1">
      <c r="A96" s="2" t="s">
        <v>731</v>
      </c>
      <c r="C96" s="110">
        <v>50000</v>
      </c>
      <c r="D96" s="114"/>
      <c r="E96" s="111"/>
      <c r="F96" s="111"/>
      <c r="G96" s="111"/>
      <c r="H96" s="111"/>
      <c r="I96" s="111"/>
      <c r="J96" s="111"/>
      <c r="K96" s="111"/>
      <c r="L96" s="111"/>
      <c r="M96" s="111"/>
      <c r="O96" s="264" t="s">
        <v>732</v>
      </c>
      <c r="P96" s="248"/>
    </row>
    <row r="97" spans="1:17" customFormat="1">
      <c r="A97" s="2" t="s">
        <v>733</v>
      </c>
      <c r="C97" s="110">
        <v>300000</v>
      </c>
      <c r="D97" s="114"/>
      <c r="E97" s="111"/>
      <c r="F97" s="111"/>
      <c r="G97" s="111"/>
      <c r="H97" s="111"/>
      <c r="I97" s="111"/>
      <c r="J97" s="111"/>
      <c r="K97" s="111"/>
      <c r="L97" s="111"/>
      <c r="M97" s="111"/>
      <c r="O97" s="264" t="s">
        <v>732</v>
      </c>
      <c r="P97" s="248"/>
    </row>
    <row r="98" spans="1:17" customFormat="1">
      <c r="A98" s="2" t="s">
        <v>734</v>
      </c>
      <c r="C98" s="110">
        <v>100000</v>
      </c>
      <c r="D98" s="114"/>
      <c r="E98" s="111"/>
      <c r="F98" s="111"/>
      <c r="G98" s="111"/>
      <c r="H98" s="111"/>
      <c r="I98" s="111"/>
      <c r="J98" s="111"/>
      <c r="K98" s="111"/>
      <c r="L98" s="111"/>
      <c r="M98" s="111"/>
      <c r="O98" s="264" t="s">
        <v>735</v>
      </c>
      <c r="P98" s="248"/>
    </row>
    <row r="99" spans="1:17" customFormat="1">
      <c r="A99" s="2" t="s">
        <v>736</v>
      </c>
      <c r="C99" s="112">
        <f>SUM(C96:C98)</f>
        <v>450000</v>
      </c>
      <c r="D99" s="114"/>
      <c r="E99" s="111"/>
      <c r="F99" s="111"/>
      <c r="G99" s="111"/>
      <c r="H99" s="111"/>
      <c r="I99" s="111"/>
      <c r="J99" s="111"/>
      <c r="K99" s="111"/>
      <c r="L99" s="111"/>
      <c r="M99" s="111"/>
      <c r="O99" s="264" t="s">
        <v>732</v>
      </c>
      <c r="P99" s="248"/>
    </row>
    <row r="100" spans="1:17" customFormat="1">
      <c r="A100" s="97" t="s">
        <v>713</v>
      </c>
      <c r="C100" s="110">
        <f>C96+C99</f>
        <v>500000</v>
      </c>
      <c r="D100" s="115">
        <f t="shared" ref="D100:M100" si="13">SUM(D96:D99)</f>
        <v>0</v>
      </c>
      <c r="E100" s="110">
        <f t="shared" si="13"/>
        <v>0</v>
      </c>
      <c r="F100" s="110">
        <f t="shared" si="13"/>
        <v>0</v>
      </c>
      <c r="G100" s="110">
        <f t="shared" si="13"/>
        <v>0</v>
      </c>
      <c r="H100" s="110">
        <f t="shared" si="13"/>
        <v>0</v>
      </c>
      <c r="I100" s="110">
        <f t="shared" si="13"/>
        <v>0</v>
      </c>
      <c r="J100" s="110">
        <f t="shared" si="13"/>
        <v>0</v>
      </c>
      <c r="K100" s="110">
        <f t="shared" si="13"/>
        <v>0</v>
      </c>
      <c r="L100" s="110">
        <f t="shared" si="13"/>
        <v>0</v>
      </c>
      <c r="M100" s="110">
        <f t="shared" si="13"/>
        <v>0</v>
      </c>
      <c r="O100" s="265"/>
      <c r="P100" s="247"/>
    </row>
    <row r="101" spans="1:17" customFormat="1">
      <c r="C101" s="23"/>
      <c r="D101" s="23"/>
      <c r="E101" s="23"/>
      <c r="F101" s="23"/>
      <c r="G101" s="23"/>
      <c r="H101" s="23"/>
      <c r="I101" s="23"/>
      <c r="J101" s="23"/>
      <c r="K101" s="23"/>
      <c r="L101" s="23"/>
      <c r="M101" s="23"/>
      <c r="O101" s="265"/>
      <c r="P101" s="247"/>
    </row>
    <row r="102" spans="1:17" customFormat="1">
      <c r="A102" s="16" t="s">
        <v>714</v>
      </c>
      <c r="C102" s="110">
        <f t="shared" ref="C102:M102" si="14">C100+C93</f>
        <v>500000</v>
      </c>
      <c r="D102" s="110">
        <f t="shared" si="14"/>
        <v>0</v>
      </c>
      <c r="E102" s="110">
        <f t="shared" si="14"/>
        <v>0</v>
      </c>
      <c r="F102" s="110">
        <f t="shared" si="14"/>
        <v>0</v>
      </c>
      <c r="G102" s="110">
        <f t="shared" si="14"/>
        <v>0</v>
      </c>
      <c r="H102" s="110">
        <f t="shared" si="14"/>
        <v>0</v>
      </c>
      <c r="I102" s="110">
        <f t="shared" si="14"/>
        <v>0</v>
      </c>
      <c r="J102" s="110">
        <f t="shared" si="14"/>
        <v>0</v>
      </c>
      <c r="K102" s="110">
        <f t="shared" si="14"/>
        <v>0</v>
      </c>
      <c r="L102" s="110">
        <f t="shared" si="14"/>
        <v>0</v>
      </c>
      <c r="M102" s="110">
        <f t="shared" si="14"/>
        <v>0</v>
      </c>
      <c r="O102" s="265"/>
      <c r="P102" s="247"/>
    </row>
    <row r="103" spans="1:17" customFormat="1">
      <c r="C103" s="23"/>
      <c r="D103" s="23"/>
      <c r="E103" s="23"/>
      <c r="F103" s="23"/>
      <c r="G103" s="23"/>
      <c r="H103" s="23"/>
      <c r="I103" s="23"/>
      <c r="J103" s="23"/>
      <c r="K103" s="23"/>
      <c r="L103" s="23"/>
      <c r="M103" s="23"/>
      <c r="O103" s="265"/>
      <c r="P103" s="247"/>
    </row>
    <row r="104" spans="1:17" customFormat="1">
      <c r="A104" s="1" t="s">
        <v>715</v>
      </c>
      <c r="C104" s="113" t="s">
        <v>191</v>
      </c>
      <c r="D104" s="100" t="s">
        <v>255</v>
      </c>
      <c r="E104" s="101" t="s">
        <v>256</v>
      </c>
      <c r="F104" s="101" t="s">
        <v>257</v>
      </c>
      <c r="G104" s="101" t="s">
        <v>702</v>
      </c>
      <c r="H104" s="101" t="s">
        <v>703</v>
      </c>
      <c r="I104" s="101" t="s">
        <v>704</v>
      </c>
      <c r="J104" s="101" t="s">
        <v>705</v>
      </c>
      <c r="K104" s="101" t="s">
        <v>706</v>
      </c>
      <c r="L104" s="101" t="s">
        <v>707</v>
      </c>
      <c r="M104" s="101" t="s">
        <v>708</v>
      </c>
      <c r="O104" s="265"/>
      <c r="P104" s="247"/>
    </row>
    <row r="105" spans="1:17" customFormat="1">
      <c r="A105" s="2" t="s">
        <v>709</v>
      </c>
      <c r="C105" s="117">
        <f t="shared" ref="C105:C106" si="15">SUM(D105:M105)</f>
        <v>0</v>
      </c>
      <c r="D105" s="102"/>
      <c r="E105" s="103"/>
      <c r="F105" s="103"/>
      <c r="G105" s="103"/>
      <c r="H105" s="103"/>
      <c r="I105" s="103"/>
      <c r="J105" s="103"/>
      <c r="K105" s="103"/>
      <c r="L105" s="103"/>
      <c r="M105" s="103"/>
      <c r="O105" s="264" t="s">
        <v>730</v>
      </c>
      <c r="P105" s="248"/>
    </row>
    <row r="106" spans="1:17" customFormat="1">
      <c r="A106" s="2" t="s">
        <v>710</v>
      </c>
      <c r="C106" s="110">
        <f t="shared" si="15"/>
        <v>0</v>
      </c>
      <c r="D106" s="108"/>
      <c r="E106" s="109"/>
      <c r="F106" s="109"/>
      <c r="G106" s="109"/>
      <c r="H106" s="109"/>
      <c r="I106" s="109"/>
      <c r="J106" s="109"/>
      <c r="K106" s="109"/>
      <c r="L106" s="109"/>
      <c r="M106" s="109"/>
      <c r="O106" s="264" t="s">
        <v>730</v>
      </c>
      <c r="P106" s="248"/>
    </row>
    <row r="107" spans="1:17" customFormat="1">
      <c r="A107" s="97" t="s">
        <v>716</v>
      </c>
      <c r="C107" s="112">
        <f>C105+C106</f>
        <v>0</v>
      </c>
      <c r="D107" s="110">
        <f t="shared" ref="D107:M107" si="16">SUM(D105:D106)</f>
        <v>0</v>
      </c>
      <c r="E107" s="110">
        <f t="shared" si="16"/>
        <v>0</v>
      </c>
      <c r="F107" s="110">
        <f t="shared" si="16"/>
        <v>0</v>
      </c>
      <c r="G107" s="110">
        <f t="shared" si="16"/>
        <v>0</v>
      </c>
      <c r="H107" s="110">
        <f t="shared" si="16"/>
        <v>0</v>
      </c>
      <c r="I107" s="110">
        <f t="shared" si="16"/>
        <v>0</v>
      </c>
      <c r="J107" s="110">
        <f t="shared" si="16"/>
        <v>0</v>
      </c>
      <c r="K107" s="110">
        <f t="shared" si="16"/>
        <v>0</v>
      </c>
      <c r="L107" s="110">
        <f t="shared" si="16"/>
        <v>0</v>
      </c>
      <c r="M107" s="110">
        <f t="shared" si="16"/>
        <v>0</v>
      </c>
      <c r="O107" s="265"/>
      <c r="P107" s="247"/>
    </row>
    <row r="108" spans="1:17" customFormat="1">
      <c r="C108" s="23"/>
      <c r="D108" s="6"/>
      <c r="E108" s="6"/>
      <c r="F108" s="6"/>
      <c r="G108" s="6"/>
      <c r="H108" s="6"/>
      <c r="I108" s="6"/>
      <c r="J108" s="6"/>
      <c r="K108" s="6"/>
      <c r="L108" s="6"/>
      <c r="M108" s="6"/>
      <c r="O108" s="265"/>
      <c r="P108" s="247"/>
    </row>
    <row r="109" spans="1:17" customFormat="1">
      <c r="A109" s="16" t="s">
        <v>717</v>
      </c>
      <c r="C109" s="113" t="s">
        <v>191</v>
      </c>
      <c r="D109" s="100" t="s">
        <v>255</v>
      </c>
      <c r="E109" s="101" t="s">
        <v>256</v>
      </c>
      <c r="F109" s="101" t="s">
        <v>257</v>
      </c>
      <c r="G109" s="101" t="s">
        <v>702</v>
      </c>
      <c r="H109" s="101" t="s">
        <v>703</v>
      </c>
      <c r="I109" s="101" t="s">
        <v>704</v>
      </c>
      <c r="J109" s="101" t="s">
        <v>705</v>
      </c>
      <c r="K109" s="101" t="s">
        <v>706</v>
      </c>
      <c r="L109" s="101" t="s">
        <v>707</v>
      </c>
      <c r="M109" s="101" t="s">
        <v>708</v>
      </c>
      <c r="O109" s="265"/>
      <c r="P109" s="247"/>
    </row>
    <row r="110" spans="1:17" customFormat="1">
      <c r="A110" s="2" t="s">
        <v>515</v>
      </c>
      <c r="C110" s="117">
        <f>SUM(D110:M110)</f>
        <v>0</v>
      </c>
      <c r="D110" s="102"/>
      <c r="E110" s="103"/>
      <c r="F110" s="103"/>
      <c r="G110" s="103"/>
      <c r="H110" s="103"/>
      <c r="I110" s="103"/>
      <c r="J110" s="103"/>
      <c r="K110" s="103"/>
      <c r="L110" s="103"/>
      <c r="M110" s="103"/>
      <c r="O110" s="264">
        <v>1000000</v>
      </c>
      <c r="P110" s="248"/>
      <c r="Q110" s="2" t="s">
        <v>737</v>
      </c>
    </row>
    <row r="111" spans="1:17" customFormat="1">
      <c r="A111" s="3" t="s">
        <v>718</v>
      </c>
      <c r="C111" s="110">
        <f>O110*O112</f>
        <v>300000</v>
      </c>
      <c r="D111" s="102"/>
      <c r="E111" s="103"/>
      <c r="F111" s="103"/>
      <c r="G111" s="103"/>
      <c r="H111" s="103"/>
      <c r="I111" s="103"/>
      <c r="J111" s="103"/>
      <c r="K111" s="103"/>
      <c r="L111" s="103"/>
      <c r="M111" s="103"/>
      <c r="O111" s="264">
        <v>1000</v>
      </c>
      <c r="P111" s="248"/>
      <c r="Q111" s="2" t="s">
        <v>738</v>
      </c>
    </row>
    <row r="112" spans="1:17" customFormat="1">
      <c r="A112" s="2" t="s">
        <v>719</v>
      </c>
      <c r="C112" s="110">
        <f t="shared" ref="C112:C113" si="17">SUM(D112:M112)</f>
        <v>0</v>
      </c>
      <c r="D112" s="102"/>
      <c r="E112" s="103"/>
      <c r="F112" s="103"/>
      <c r="G112" s="103"/>
      <c r="H112" s="103"/>
      <c r="I112" s="103"/>
      <c r="J112" s="103"/>
      <c r="K112" s="103"/>
      <c r="L112" s="103"/>
      <c r="M112" s="103"/>
      <c r="O112" s="266">
        <v>0.3</v>
      </c>
      <c r="P112" s="248"/>
      <c r="Q112" s="2" t="s">
        <v>739</v>
      </c>
    </row>
    <row r="113" spans="1:21" customFormat="1">
      <c r="A113" s="2" t="s">
        <v>720</v>
      </c>
      <c r="C113" s="110">
        <f t="shared" si="17"/>
        <v>0</v>
      </c>
      <c r="D113" s="102"/>
      <c r="E113" s="103"/>
      <c r="F113" s="103"/>
      <c r="G113" s="103"/>
      <c r="H113" s="103"/>
      <c r="I113" s="103"/>
      <c r="J113" s="103"/>
      <c r="K113" s="103"/>
      <c r="L113" s="103"/>
      <c r="M113" s="103"/>
      <c r="O113" s="264"/>
      <c r="P113" s="248"/>
    </row>
    <row r="114" spans="1:21" customFormat="1">
      <c r="A114" s="2" t="s">
        <v>721</v>
      </c>
      <c r="C114" s="110">
        <v>100000</v>
      </c>
      <c r="D114" s="102"/>
      <c r="E114" s="103"/>
      <c r="F114" s="103"/>
      <c r="G114" s="103"/>
      <c r="H114" s="103"/>
      <c r="I114" s="103"/>
      <c r="J114" s="103"/>
      <c r="K114" s="103"/>
      <c r="L114" s="103"/>
      <c r="M114" s="103"/>
      <c r="O114" s="264" t="s">
        <v>740</v>
      </c>
      <c r="P114" s="248"/>
    </row>
    <row r="115" spans="1:21" customFormat="1">
      <c r="A115" s="2" t="s">
        <v>722</v>
      </c>
      <c r="C115" s="110">
        <f>SUM(D115:M115)</f>
        <v>0</v>
      </c>
      <c r="D115" s="102"/>
      <c r="E115" s="103"/>
      <c r="F115" s="103"/>
      <c r="G115" s="103"/>
      <c r="H115" s="103"/>
      <c r="I115" s="103"/>
      <c r="J115" s="103"/>
      <c r="K115" s="103"/>
      <c r="L115" s="103"/>
      <c r="M115" s="103"/>
      <c r="O115" s="264"/>
      <c r="P115" s="248"/>
    </row>
    <row r="116" spans="1:21" customFormat="1">
      <c r="A116" s="1"/>
      <c r="C116" s="6"/>
      <c r="D116" s="6"/>
      <c r="E116" s="6"/>
      <c r="F116" s="6"/>
      <c r="G116" s="6"/>
      <c r="H116" s="6"/>
      <c r="I116" s="6"/>
      <c r="J116" s="6"/>
      <c r="K116" s="6"/>
      <c r="L116" s="6"/>
      <c r="M116" s="6"/>
    </row>
    <row r="117" spans="1:21" customFormat="1">
      <c r="A117" s="16" t="s">
        <v>723</v>
      </c>
      <c r="C117" s="110">
        <f t="shared" ref="C117:M117" si="18">SUM(C110:C115)</f>
        <v>400000</v>
      </c>
      <c r="D117" s="110">
        <f t="shared" si="18"/>
        <v>0</v>
      </c>
      <c r="E117" s="110">
        <f t="shared" si="18"/>
        <v>0</v>
      </c>
      <c r="F117" s="110">
        <f t="shared" si="18"/>
        <v>0</v>
      </c>
      <c r="G117" s="110">
        <f t="shared" si="18"/>
        <v>0</v>
      </c>
      <c r="H117" s="110">
        <f t="shared" si="18"/>
        <v>0</v>
      </c>
      <c r="I117" s="110">
        <f t="shared" si="18"/>
        <v>0</v>
      </c>
      <c r="J117" s="110">
        <f t="shared" si="18"/>
        <v>0</v>
      </c>
      <c r="K117" s="110">
        <f t="shared" si="18"/>
        <v>0</v>
      </c>
      <c r="L117" s="110">
        <f t="shared" si="18"/>
        <v>0</v>
      </c>
      <c r="M117" s="110">
        <f t="shared" si="18"/>
        <v>0</v>
      </c>
    </row>
    <row r="118" spans="1:21" customFormat="1" ht="15.75" customHeight="1"/>
    <row r="119" spans="1:21" customFormat="1">
      <c r="C119" s="118" t="s">
        <v>724</v>
      </c>
      <c r="D119" s="110">
        <f t="shared" ref="D119:M119" si="19">D117-D102-D107</f>
        <v>0</v>
      </c>
      <c r="E119" s="110">
        <f t="shared" si="19"/>
        <v>0</v>
      </c>
      <c r="F119" s="110">
        <f t="shared" si="19"/>
        <v>0</v>
      </c>
      <c r="G119" s="110">
        <f t="shared" si="19"/>
        <v>0</v>
      </c>
      <c r="H119" s="110">
        <f t="shared" si="19"/>
        <v>0</v>
      </c>
      <c r="I119" s="110">
        <f t="shared" si="19"/>
        <v>0</v>
      </c>
      <c r="J119" s="110">
        <f t="shared" si="19"/>
        <v>0</v>
      </c>
      <c r="K119" s="110">
        <f t="shared" si="19"/>
        <v>0</v>
      </c>
      <c r="L119" s="110">
        <f t="shared" si="19"/>
        <v>0</v>
      </c>
      <c r="M119" s="110">
        <f t="shared" si="19"/>
        <v>0</v>
      </c>
    </row>
    <row r="120" spans="1:21" customFormat="1">
      <c r="C120" s="118" t="s">
        <v>725</v>
      </c>
      <c r="D120" s="110">
        <f>D119</f>
        <v>0</v>
      </c>
      <c r="E120" s="110">
        <f t="shared" ref="E120:M120" si="20">D120+E119</f>
        <v>0</v>
      </c>
      <c r="F120" s="110">
        <f t="shared" si="20"/>
        <v>0</v>
      </c>
      <c r="G120" s="110">
        <f t="shared" si="20"/>
        <v>0</v>
      </c>
      <c r="H120" s="110">
        <f t="shared" si="20"/>
        <v>0</v>
      </c>
      <c r="I120" s="110">
        <f t="shared" si="20"/>
        <v>0</v>
      </c>
      <c r="J120" s="110">
        <f t="shared" si="20"/>
        <v>0</v>
      </c>
      <c r="K120" s="110">
        <f t="shared" si="20"/>
        <v>0</v>
      </c>
      <c r="L120" s="110">
        <f t="shared" si="20"/>
        <v>0</v>
      </c>
      <c r="M120" s="110">
        <f t="shared" si="20"/>
        <v>0</v>
      </c>
    </row>
    <row r="121" spans="1:21" customFormat="1" ht="15.75" customHeight="1"/>
    <row r="122" spans="1:21" customFormat="1" ht="15.75" customHeight="1"/>
    <row r="123" spans="1:21" customFormat="1">
      <c r="A123" s="4" t="s">
        <v>766</v>
      </c>
      <c r="B123" s="104"/>
      <c r="C123" s="104"/>
      <c r="D123" s="104"/>
      <c r="E123" s="104"/>
      <c r="F123" s="104"/>
      <c r="G123" s="104"/>
      <c r="H123" s="104"/>
      <c r="I123" s="104"/>
      <c r="J123" s="104"/>
      <c r="K123" s="104"/>
      <c r="L123" s="104"/>
      <c r="M123" s="104"/>
      <c r="N123" s="104"/>
      <c r="O123" s="104"/>
      <c r="P123" s="104"/>
      <c r="Q123" s="104"/>
      <c r="R123" s="104"/>
      <c r="S123" s="2"/>
      <c r="T123" s="2"/>
      <c r="U123" s="2"/>
    </row>
    <row r="124" spans="1:21" customFormat="1" ht="15.75" customHeight="1"/>
    <row r="125" spans="1:21" customFormat="1">
      <c r="A125" s="2" t="s">
        <v>773</v>
      </c>
    </row>
    <row r="126" spans="1:21" customFormat="1">
      <c r="A126" s="2" t="s">
        <v>774</v>
      </c>
    </row>
    <row r="127" spans="1:21" customFormat="1">
      <c r="A127" s="2" t="s">
        <v>775</v>
      </c>
    </row>
    <row r="128" spans="1:21" customFormat="1">
      <c r="A128" s="2" t="s">
        <v>776</v>
      </c>
    </row>
    <row r="129" spans="1:16" customFormat="1" ht="15.75" customHeight="1"/>
    <row r="130" spans="1:16" customFormat="1">
      <c r="A130" s="16" t="s">
        <v>741</v>
      </c>
      <c r="C130" s="121">
        <f>E164+F164</f>
        <v>1.25</v>
      </c>
      <c r="D130" s="2" t="s">
        <v>742</v>
      </c>
      <c r="O130" s="5"/>
      <c r="P130" s="5"/>
    </row>
    <row r="131" spans="1:16" customFormat="1">
      <c r="A131" s="1"/>
      <c r="C131" s="1"/>
      <c r="O131" s="5"/>
      <c r="P131" s="5"/>
    </row>
    <row r="132" spans="1:16" customFormat="1">
      <c r="A132" s="16" t="s">
        <v>571</v>
      </c>
      <c r="C132" s="1"/>
      <c r="O132" s="262" t="s">
        <v>700</v>
      </c>
      <c r="P132" s="263"/>
    </row>
    <row r="133" spans="1:16" customFormat="1">
      <c r="A133" s="97" t="s">
        <v>701</v>
      </c>
      <c r="C133" s="113" t="s">
        <v>191</v>
      </c>
      <c r="D133" s="100" t="s">
        <v>743</v>
      </c>
      <c r="E133" s="101" t="s">
        <v>255</v>
      </c>
      <c r="F133" s="101" t="s">
        <v>256</v>
      </c>
      <c r="G133" s="101" t="s">
        <v>257</v>
      </c>
      <c r="H133" s="101" t="s">
        <v>702</v>
      </c>
      <c r="I133" s="101" t="s">
        <v>703</v>
      </c>
      <c r="J133" s="101" t="s">
        <v>704</v>
      </c>
      <c r="K133" s="101" t="s">
        <v>705</v>
      </c>
      <c r="L133" s="101" t="s">
        <v>706</v>
      </c>
      <c r="M133" s="101" t="s">
        <v>707</v>
      </c>
    </row>
    <row r="134" spans="1:16" customFormat="1">
      <c r="A134" s="2" t="s">
        <v>709</v>
      </c>
      <c r="C134" s="110">
        <f t="shared" ref="C134:C135" si="21">SUM(D134:M134)</f>
        <v>0</v>
      </c>
      <c r="D134" s="102"/>
      <c r="E134" s="103"/>
      <c r="F134" s="103"/>
      <c r="G134" s="103"/>
      <c r="H134" s="103"/>
      <c r="I134" s="103"/>
      <c r="J134" s="103"/>
      <c r="K134" s="103"/>
      <c r="L134" s="103"/>
      <c r="M134" s="103"/>
      <c r="O134" s="264" t="s">
        <v>730</v>
      </c>
      <c r="P134" s="248"/>
    </row>
    <row r="135" spans="1:16" customFormat="1">
      <c r="A135" s="2" t="s">
        <v>710</v>
      </c>
      <c r="C135" s="112">
        <f t="shared" si="21"/>
        <v>0</v>
      </c>
      <c r="D135" s="108"/>
      <c r="E135" s="109"/>
      <c r="F135" s="109"/>
      <c r="G135" s="109"/>
      <c r="H135" s="109"/>
      <c r="I135" s="109"/>
      <c r="J135" s="109"/>
      <c r="K135" s="109"/>
      <c r="L135" s="109"/>
      <c r="M135" s="109"/>
      <c r="O135" s="264" t="s">
        <v>730</v>
      </c>
      <c r="P135" s="248"/>
    </row>
    <row r="136" spans="1:16" customFormat="1">
      <c r="A136" s="97" t="s">
        <v>711</v>
      </c>
      <c r="C136" s="110">
        <f t="shared" ref="C136:M136" si="22">SUM(C134:C135)</f>
        <v>0</v>
      </c>
      <c r="D136" s="110">
        <f t="shared" si="22"/>
        <v>0</v>
      </c>
      <c r="E136" s="110">
        <f t="shared" si="22"/>
        <v>0</v>
      </c>
      <c r="F136" s="110">
        <f t="shared" si="22"/>
        <v>0</v>
      </c>
      <c r="G136" s="110">
        <f t="shared" si="22"/>
        <v>0</v>
      </c>
      <c r="H136" s="110">
        <f t="shared" si="22"/>
        <v>0</v>
      </c>
      <c r="I136" s="110">
        <f t="shared" si="22"/>
        <v>0</v>
      </c>
      <c r="J136" s="110">
        <f t="shared" si="22"/>
        <v>0</v>
      </c>
      <c r="K136" s="110">
        <f t="shared" si="22"/>
        <v>0</v>
      </c>
      <c r="L136" s="110">
        <f t="shared" si="22"/>
        <v>0</v>
      </c>
      <c r="M136" s="110">
        <f t="shared" si="22"/>
        <v>0</v>
      </c>
      <c r="O136" s="265"/>
      <c r="P136" s="247"/>
    </row>
    <row r="137" spans="1:16" customFormat="1">
      <c r="C137" s="23"/>
      <c r="D137" s="6"/>
      <c r="E137" s="6"/>
      <c r="F137" s="6"/>
      <c r="G137" s="6"/>
      <c r="H137" s="6"/>
      <c r="I137" s="6"/>
      <c r="J137" s="6"/>
      <c r="K137" s="6"/>
      <c r="L137" s="6"/>
      <c r="M137" s="6"/>
      <c r="O137" s="265"/>
      <c r="P137" s="247"/>
    </row>
    <row r="138" spans="1:16" customFormat="1">
      <c r="A138" s="1" t="s">
        <v>712</v>
      </c>
      <c r="C138" s="113" t="s">
        <v>191</v>
      </c>
      <c r="D138" s="100" t="s">
        <v>743</v>
      </c>
      <c r="E138" s="101" t="s">
        <v>255</v>
      </c>
      <c r="F138" s="101" t="s">
        <v>256</v>
      </c>
      <c r="G138" s="101" t="s">
        <v>257</v>
      </c>
      <c r="H138" s="101" t="s">
        <v>702</v>
      </c>
      <c r="I138" s="101" t="s">
        <v>703</v>
      </c>
      <c r="J138" s="101" t="s">
        <v>704</v>
      </c>
      <c r="K138" s="101" t="s">
        <v>705</v>
      </c>
      <c r="L138" s="101" t="s">
        <v>706</v>
      </c>
      <c r="M138" s="101" t="s">
        <v>707</v>
      </c>
      <c r="O138" s="265"/>
      <c r="P138" s="247"/>
    </row>
    <row r="139" spans="1:16" customFormat="1">
      <c r="A139" s="2" t="s">
        <v>731</v>
      </c>
      <c r="C139" s="110">
        <f t="shared" ref="C139:C142" si="23">SUM(D139:M139)</f>
        <v>50000</v>
      </c>
      <c r="D139" s="102">
        <v>50000</v>
      </c>
      <c r="E139" s="103"/>
      <c r="F139" s="103"/>
      <c r="G139" s="103"/>
      <c r="H139" s="103"/>
      <c r="I139" s="103"/>
      <c r="J139" s="103"/>
      <c r="K139" s="103"/>
      <c r="L139" s="103"/>
      <c r="M139" s="103"/>
      <c r="O139" s="264" t="s">
        <v>732</v>
      </c>
      <c r="P139" s="248"/>
    </row>
    <row r="140" spans="1:16" customFormat="1">
      <c r="A140" s="2" t="s">
        <v>733</v>
      </c>
      <c r="C140" s="110">
        <f t="shared" si="23"/>
        <v>300000</v>
      </c>
      <c r="D140" s="102">
        <v>300000</v>
      </c>
      <c r="E140" s="103"/>
      <c r="F140" s="103"/>
      <c r="G140" s="103"/>
      <c r="H140" s="103"/>
      <c r="I140" s="103"/>
      <c r="J140" s="103"/>
      <c r="K140" s="103"/>
      <c r="L140" s="103"/>
      <c r="M140" s="103"/>
      <c r="O140" s="264" t="s">
        <v>732</v>
      </c>
      <c r="P140" s="248"/>
    </row>
    <row r="141" spans="1:16" customFormat="1">
      <c r="A141" s="2" t="s">
        <v>734</v>
      </c>
      <c r="C141" s="110">
        <f t="shared" si="23"/>
        <v>100000</v>
      </c>
      <c r="D141" s="102">
        <v>100000</v>
      </c>
      <c r="E141" s="103"/>
      <c r="F141" s="103"/>
      <c r="G141" s="103"/>
      <c r="H141" s="103"/>
      <c r="I141" s="103"/>
      <c r="J141" s="103"/>
      <c r="K141" s="103"/>
      <c r="L141" s="103"/>
      <c r="M141" s="103"/>
      <c r="O141" s="264" t="s">
        <v>735</v>
      </c>
      <c r="P141" s="248"/>
    </row>
    <row r="142" spans="1:16" customFormat="1">
      <c r="A142" s="2" t="s">
        <v>736</v>
      </c>
      <c r="C142" s="112">
        <f t="shared" si="23"/>
        <v>50000</v>
      </c>
      <c r="D142" s="108">
        <v>50000</v>
      </c>
      <c r="E142" s="109"/>
      <c r="F142" s="109"/>
      <c r="G142" s="109"/>
      <c r="H142" s="109"/>
      <c r="I142" s="109"/>
      <c r="J142" s="109"/>
      <c r="K142" s="109"/>
      <c r="L142" s="109"/>
      <c r="M142" s="109"/>
      <c r="O142" s="264" t="s">
        <v>732</v>
      </c>
      <c r="P142" s="248"/>
    </row>
    <row r="143" spans="1:16" customFormat="1">
      <c r="A143" s="97" t="s">
        <v>713</v>
      </c>
      <c r="C143" s="110">
        <f t="shared" ref="C143:M143" si="24">SUM(C139:C142)</f>
        <v>500000</v>
      </c>
      <c r="D143" s="110">
        <f t="shared" si="24"/>
        <v>500000</v>
      </c>
      <c r="E143" s="110">
        <f t="shared" si="24"/>
        <v>0</v>
      </c>
      <c r="F143" s="110">
        <f t="shared" si="24"/>
        <v>0</v>
      </c>
      <c r="G143" s="110">
        <f t="shared" si="24"/>
        <v>0</v>
      </c>
      <c r="H143" s="110">
        <f t="shared" si="24"/>
        <v>0</v>
      </c>
      <c r="I143" s="110">
        <f t="shared" si="24"/>
        <v>0</v>
      </c>
      <c r="J143" s="110">
        <f t="shared" si="24"/>
        <v>0</v>
      </c>
      <c r="K143" s="110">
        <f t="shared" si="24"/>
        <v>0</v>
      </c>
      <c r="L143" s="110">
        <f t="shared" si="24"/>
        <v>0</v>
      </c>
      <c r="M143" s="110">
        <f t="shared" si="24"/>
        <v>0</v>
      </c>
      <c r="O143" s="265"/>
      <c r="P143" s="247"/>
    </row>
    <row r="144" spans="1:16" customFormat="1">
      <c r="C144" s="23"/>
      <c r="D144" s="23"/>
      <c r="E144" s="23"/>
      <c r="F144" s="23"/>
      <c r="G144" s="23"/>
      <c r="H144" s="23"/>
      <c r="I144" s="23"/>
      <c r="J144" s="23"/>
      <c r="K144" s="23"/>
      <c r="L144" s="23"/>
      <c r="M144" s="23"/>
      <c r="O144" s="265"/>
      <c r="P144" s="247"/>
    </row>
    <row r="145" spans="1:17" customFormat="1">
      <c r="A145" s="16" t="s">
        <v>714</v>
      </c>
      <c r="C145" s="110">
        <f t="shared" ref="C145:M145" si="25">C143+C136</f>
        <v>500000</v>
      </c>
      <c r="D145" s="110">
        <f t="shared" si="25"/>
        <v>500000</v>
      </c>
      <c r="E145" s="110">
        <f t="shared" si="25"/>
        <v>0</v>
      </c>
      <c r="F145" s="110">
        <f t="shared" si="25"/>
        <v>0</v>
      </c>
      <c r="G145" s="110">
        <f t="shared" si="25"/>
        <v>0</v>
      </c>
      <c r="H145" s="110">
        <f t="shared" si="25"/>
        <v>0</v>
      </c>
      <c r="I145" s="110">
        <f t="shared" si="25"/>
        <v>0</v>
      </c>
      <c r="J145" s="110">
        <f t="shared" si="25"/>
        <v>0</v>
      </c>
      <c r="K145" s="110">
        <f t="shared" si="25"/>
        <v>0</v>
      </c>
      <c r="L145" s="110">
        <f t="shared" si="25"/>
        <v>0</v>
      </c>
      <c r="M145" s="110">
        <f t="shared" si="25"/>
        <v>0</v>
      </c>
      <c r="O145" s="265"/>
      <c r="P145" s="247"/>
    </row>
    <row r="146" spans="1:17" customFormat="1">
      <c r="C146" s="23"/>
      <c r="D146" s="6"/>
      <c r="E146" s="6"/>
      <c r="F146" s="6"/>
      <c r="G146" s="6"/>
      <c r="H146" s="6"/>
      <c r="I146" s="6"/>
      <c r="J146" s="6"/>
      <c r="K146" s="6"/>
      <c r="L146" s="6"/>
      <c r="M146" s="6"/>
      <c r="O146" s="265"/>
      <c r="P146" s="247"/>
    </row>
    <row r="147" spans="1:17" customFormat="1">
      <c r="A147" s="1" t="s">
        <v>715</v>
      </c>
      <c r="C147" s="113" t="s">
        <v>191</v>
      </c>
      <c r="D147" s="113" t="s">
        <v>743</v>
      </c>
      <c r="E147" s="113" t="s">
        <v>255</v>
      </c>
      <c r="F147" s="113" t="s">
        <v>256</v>
      </c>
      <c r="G147" s="113" t="s">
        <v>257</v>
      </c>
      <c r="H147" s="113" t="s">
        <v>702</v>
      </c>
      <c r="I147" s="113" t="s">
        <v>703</v>
      </c>
      <c r="J147" s="113" t="s">
        <v>704</v>
      </c>
      <c r="K147" s="113" t="s">
        <v>705</v>
      </c>
      <c r="L147" s="113" t="s">
        <v>706</v>
      </c>
      <c r="M147" s="113" t="s">
        <v>707</v>
      </c>
      <c r="O147" s="265"/>
      <c r="P147" s="247"/>
    </row>
    <row r="148" spans="1:17" customFormat="1">
      <c r="A148" s="2" t="s">
        <v>709</v>
      </c>
      <c r="C148" s="110">
        <f t="shared" ref="C148:C149" si="26">SUM(D148:M148)</f>
        <v>0</v>
      </c>
      <c r="D148" s="111"/>
      <c r="E148" s="111"/>
      <c r="F148" s="111"/>
      <c r="G148" s="111"/>
      <c r="H148" s="111"/>
      <c r="I148" s="111"/>
      <c r="J148" s="111"/>
      <c r="K148" s="111"/>
      <c r="L148" s="111"/>
      <c r="M148" s="111"/>
      <c r="O148" s="264" t="s">
        <v>730</v>
      </c>
      <c r="P148" s="248"/>
    </row>
    <row r="149" spans="1:17" customFormat="1">
      <c r="A149" s="2" t="s">
        <v>710</v>
      </c>
      <c r="C149" s="110">
        <f t="shared" si="26"/>
        <v>0</v>
      </c>
      <c r="D149" s="111"/>
      <c r="E149" s="111"/>
      <c r="F149" s="111"/>
      <c r="G149" s="111"/>
      <c r="H149" s="111"/>
      <c r="I149" s="111"/>
      <c r="J149" s="111"/>
      <c r="K149" s="111"/>
      <c r="L149" s="111"/>
      <c r="M149" s="111"/>
      <c r="O149" s="264" t="s">
        <v>730</v>
      </c>
      <c r="P149" s="248"/>
    </row>
    <row r="150" spans="1:17" customFormat="1">
      <c r="A150" s="97" t="s">
        <v>716</v>
      </c>
      <c r="C150" s="110">
        <f>SUM(C148:C149)</f>
        <v>0</v>
      </c>
      <c r="D150" s="110">
        <f t="shared" ref="D150:M150" si="27">SUM(D148:D149)</f>
        <v>0</v>
      </c>
      <c r="E150" s="110">
        <f t="shared" si="27"/>
        <v>0</v>
      </c>
      <c r="F150" s="110">
        <f t="shared" si="27"/>
        <v>0</v>
      </c>
      <c r="G150" s="110">
        <f t="shared" si="27"/>
        <v>0</v>
      </c>
      <c r="H150" s="110">
        <f t="shared" si="27"/>
        <v>0</v>
      </c>
      <c r="I150" s="110">
        <f t="shared" si="27"/>
        <v>0</v>
      </c>
      <c r="J150" s="110">
        <f t="shared" si="27"/>
        <v>0</v>
      </c>
      <c r="K150" s="110">
        <f t="shared" si="27"/>
        <v>0</v>
      </c>
      <c r="L150" s="110">
        <f t="shared" si="27"/>
        <v>0</v>
      </c>
      <c r="M150" s="110">
        <f t="shared" si="27"/>
        <v>0</v>
      </c>
      <c r="O150" s="265"/>
      <c r="P150" s="247"/>
    </row>
    <row r="151" spans="1:17" customFormat="1">
      <c r="C151" s="23"/>
      <c r="D151" s="23"/>
      <c r="E151" s="23"/>
      <c r="F151" s="23"/>
      <c r="G151" s="23"/>
      <c r="H151" s="23"/>
      <c r="I151" s="23"/>
      <c r="J151" s="23"/>
      <c r="K151" s="23"/>
      <c r="L151" s="23"/>
      <c r="M151" s="23"/>
      <c r="O151" s="265"/>
      <c r="P151" s="247"/>
    </row>
    <row r="152" spans="1:17" customFormat="1">
      <c r="A152" s="16" t="s">
        <v>717</v>
      </c>
      <c r="C152" s="113" t="s">
        <v>191</v>
      </c>
      <c r="D152" s="113" t="s">
        <v>743</v>
      </c>
      <c r="E152" s="113" t="s">
        <v>255</v>
      </c>
      <c r="F152" s="113" t="s">
        <v>256</v>
      </c>
      <c r="G152" s="113" t="s">
        <v>257</v>
      </c>
      <c r="H152" s="113" t="s">
        <v>702</v>
      </c>
      <c r="I152" s="113" t="s">
        <v>703</v>
      </c>
      <c r="J152" s="113" t="s">
        <v>704</v>
      </c>
      <c r="K152" s="113" t="s">
        <v>705</v>
      </c>
      <c r="L152" s="113" t="s">
        <v>706</v>
      </c>
      <c r="M152" s="113" t="s">
        <v>707</v>
      </c>
      <c r="O152" s="265"/>
      <c r="P152" s="247"/>
    </row>
    <row r="153" spans="1:17" customFormat="1">
      <c r="A153" s="2" t="s">
        <v>515</v>
      </c>
      <c r="C153" s="110">
        <f t="shared" ref="C153:C158" si="28">SUM(D153:M153)</f>
        <v>0</v>
      </c>
      <c r="D153" s="111"/>
      <c r="E153" s="111"/>
      <c r="F153" s="111"/>
      <c r="G153" s="111"/>
      <c r="H153" s="111"/>
      <c r="I153" s="111"/>
      <c r="J153" s="111"/>
      <c r="K153" s="111"/>
      <c r="L153" s="111"/>
      <c r="M153" s="111"/>
      <c r="O153" s="264">
        <v>1000000</v>
      </c>
      <c r="P153" s="248"/>
      <c r="Q153" s="2" t="s">
        <v>737</v>
      </c>
    </row>
    <row r="154" spans="1:17" customFormat="1">
      <c r="A154" s="3" t="s">
        <v>718</v>
      </c>
      <c r="C154" s="110">
        <f t="shared" si="28"/>
        <v>900000</v>
      </c>
      <c r="D154" s="111"/>
      <c r="E154" s="111">
        <v>300000</v>
      </c>
      <c r="F154" s="111">
        <v>300000</v>
      </c>
      <c r="G154" s="111">
        <v>300000</v>
      </c>
      <c r="H154" s="111"/>
      <c r="I154" s="111"/>
      <c r="J154" s="111"/>
      <c r="K154" s="111"/>
      <c r="L154" s="111"/>
      <c r="M154" s="111"/>
      <c r="O154" s="264">
        <v>1000</v>
      </c>
      <c r="P154" s="248"/>
      <c r="Q154" s="2" t="s">
        <v>738</v>
      </c>
    </row>
    <row r="155" spans="1:17" customFormat="1">
      <c r="A155" s="2" t="s">
        <v>719</v>
      </c>
      <c r="C155" s="110">
        <f t="shared" si="28"/>
        <v>0</v>
      </c>
      <c r="D155" s="111"/>
      <c r="E155" s="111"/>
      <c r="F155" s="111"/>
      <c r="G155" s="111"/>
      <c r="H155" s="111"/>
      <c r="I155" s="111"/>
      <c r="J155" s="111"/>
      <c r="K155" s="111"/>
      <c r="L155" s="111"/>
      <c r="M155" s="111"/>
      <c r="O155" s="266">
        <v>0.3</v>
      </c>
      <c r="P155" s="248"/>
      <c r="Q155" s="2" t="s">
        <v>739</v>
      </c>
    </row>
    <row r="156" spans="1:17" customFormat="1">
      <c r="A156" s="2" t="s">
        <v>720</v>
      </c>
      <c r="C156" s="110">
        <f t="shared" si="28"/>
        <v>0</v>
      </c>
      <c r="D156" s="111"/>
      <c r="E156" s="111"/>
      <c r="F156" s="111"/>
      <c r="G156" s="111"/>
      <c r="H156" s="111"/>
      <c r="I156" s="111"/>
      <c r="J156" s="111"/>
      <c r="K156" s="111"/>
      <c r="L156" s="111"/>
      <c r="M156" s="111"/>
      <c r="O156" s="264"/>
      <c r="P156" s="248"/>
    </row>
    <row r="157" spans="1:17" customFormat="1">
      <c r="A157" s="2" t="s">
        <v>721</v>
      </c>
      <c r="C157" s="110">
        <f t="shared" si="28"/>
        <v>300000</v>
      </c>
      <c r="D157" s="111"/>
      <c r="E157" s="111">
        <v>100000</v>
      </c>
      <c r="F157" s="111">
        <v>100000</v>
      </c>
      <c r="G157" s="111">
        <v>100000</v>
      </c>
      <c r="H157" s="111"/>
      <c r="I157" s="111"/>
      <c r="J157" s="111"/>
      <c r="K157" s="111"/>
      <c r="L157" s="111"/>
      <c r="M157" s="111"/>
      <c r="O157" s="264" t="s">
        <v>740</v>
      </c>
      <c r="P157" s="248"/>
    </row>
    <row r="158" spans="1:17" customFormat="1">
      <c r="A158" s="2" t="s">
        <v>722</v>
      </c>
      <c r="C158" s="110">
        <f t="shared" si="28"/>
        <v>0</v>
      </c>
      <c r="D158" s="111"/>
      <c r="E158" s="111"/>
      <c r="F158" s="111"/>
      <c r="G158" s="111"/>
      <c r="H158" s="111"/>
      <c r="I158" s="111"/>
      <c r="J158" s="111"/>
      <c r="K158" s="111"/>
      <c r="L158" s="111"/>
      <c r="M158" s="111"/>
      <c r="O158" s="264"/>
      <c r="P158" s="248"/>
    </row>
    <row r="159" spans="1:17" customFormat="1">
      <c r="A159" s="1"/>
      <c r="C159" s="6"/>
      <c r="D159" s="6"/>
      <c r="E159" s="6"/>
      <c r="F159" s="6"/>
      <c r="G159" s="6"/>
      <c r="H159" s="6"/>
      <c r="I159" s="6"/>
      <c r="J159" s="6"/>
      <c r="K159" s="6"/>
      <c r="L159" s="6"/>
      <c r="M159" s="6"/>
    </row>
    <row r="160" spans="1:17" customFormat="1">
      <c r="A160" s="16" t="s">
        <v>723</v>
      </c>
      <c r="C160" s="110">
        <f t="shared" ref="C160:M160" si="29">SUM(C153:C158)</f>
        <v>1200000</v>
      </c>
      <c r="D160" s="120">
        <f t="shared" si="29"/>
        <v>0</v>
      </c>
      <c r="E160" s="120">
        <f t="shared" si="29"/>
        <v>400000</v>
      </c>
      <c r="F160" s="120">
        <f t="shared" si="29"/>
        <v>400000</v>
      </c>
      <c r="G160" s="120">
        <f t="shared" si="29"/>
        <v>400000</v>
      </c>
      <c r="H160" s="120">
        <f t="shared" si="29"/>
        <v>0</v>
      </c>
      <c r="I160" s="120">
        <f t="shared" si="29"/>
        <v>0</v>
      </c>
      <c r="J160" s="120">
        <f t="shared" si="29"/>
        <v>0</v>
      </c>
      <c r="K160" s="120">
        <f t="shared" si="29"/>
        <v>0</v>
      </c>
      <c r="L160" s="120">
        <f t="shared" si="29"/>
        <v>0</v>
      </c>
      <c r="M160" s="120">
        <f t="shared" si="29"/>
        <v>0</v>
      </c>
    </row>
    <row r="161" spans="1:16" customFormat="1" ht="15.75" customHeight="1"/>
    <row r="162" spans="1:16" customFormat="1">
      <c r="C162" s="118" t="s">
        <v>724</v>
      </c>
      <c r="D162" s="110">
        <f>D160-D145-D150-D136</f>
        <v>-500000</v>
      </c>
      <c r="E162" s="110">
        <f t="shared" ref="E162:M162" si="30">E160-E145-E150</f>
        <v>400000</v>
      </c>
      <c r="F162" s="110">
        <f t="shared" si="30"/>
        <v>400000</v>
      </c>
      <c r="G162" s="110">
        <f t="shared" si="30"/>
        <v>400000</v>
      </c>
      <c r="H162" s="110">
        <f t="shared" si="30"/>
        <v>0</v>
      </c>
      <c r="I162" s="110">
        <f t="shared" si="30"/>
        <v>0</v>
      </c>
      <c r="J162" s="110">
        <f t="shared" si="30"/>
        <v>0</v>
      </c>
      <c r="K162" s="110">
        <f t="shared" si="30"/>
        <v>0</v>
      </c>
      <c r="L162" s="110">
        <f t="shared" si="30"/>
        <v>0</v>
      </c>
      <c r="M162" s="110">
        <f t="shared" si="30"/>
        <v>0</v>
      </c>
    </row>
    <row r="163" spans="1:16" customFormat="1">
      <c r="C163" s="118" t="s">
        <v>725</v>
      </c>
      <c r="D163" s="110">
        <f>D162</f>
        <v>-500000</v>
      </c>
      <c r="E163" s="110">
        <f t="shared" ref="E163:M163" si="31">D163+E162</f>
        <v>-100000</v>
      </c>
      <c r="F163" s="110">
        <f t="shared" si="31"/>
        <v>300000</v>
      </c>
      <c r="G163" s="110">
        <f t="shared" si="31"/>
        <v>700000</v>
      </c>
      <c r="H163" s="110">
        <f t="shared" si="31"/>
        <v>700000</v>
      </c>
      <c r="I163" s="110">
        <f t="shared" si="31"/>
        <v>700000</v>
      </c>
      <c r="J163" s="110">
        <f t="shared" si="31"/>
        <v>700000</v>
      </c>
      <c r="K163" s="110">
        <f t="shared" si="31"/>
        <v>700000</v>
      </c>
      <c r="L163" s="110">
        <f t="shared" si="31"/>
        <v>700000</v>
      </c>
      <c r="M163" s="110">
        <f t="shared" si="31"/>
        <v>700000</v>
      </c>
    </row>
    <row r="164" spans="1:16" customFormat="1">
      <c r="C164" s="6"/>
      <c r="D164" s="6"/>
      <c r="E164" s="6">
        <f t="shared" ref="E164:M164" si="32">IF(E163&lt;0,1,-(D163/E162))</f>
        <v>1</v>
      </c>
      <c r="F164" s="6">
        <f t="shared" si="32"/>
        <v>0.25</v>
      </c>
      <c r="G164" s="6">
        <f t="shared" si="32"/>
        <v>-0.75</v>
      </c>
      <c r="H164" s="6" t="e">
        <f t="shared" si="32"/>
        <v>#DIV/0!</v>
      </c>
      <c r="I164" s="6" t="e">
        <f t="shared" si="32"/>
        <v>#DIV/0!</v>
      </c>
      <c r="J164" s="6" t="e">
        <f t="shared" si="32"/>
        <v>#DIV/0!</v>
      </c>
      <c r="K164" s="6" t="e">
        <f t="shared" si="32"/>
        <v>#DIV/0!</v>
      </c>
      <c r="L164" s="6" t="e">
        <f t="shared" si="32"/>
        <v>#DIV/0!</v>
      </c>
      <c r="M164" s="6" t="e">
        <f t="shared" si="32"/>
        <v>#DIV/0!</v>
      </c>
    </row>
    <row r="165" spans="1:16" customFormat="1">
      <c r="A165" s="16" t="s">
        <v>744</v>
      </c>
      <c r="C165" s="121">
        <f>D199+E199+F199</f>
        <v>2.5</v>
      </c>
      <c r="D165" s="10" t="s">
        <v>742</v>
      </c>
    </row>
    <row r="166" spans="1:16" customFormat="1" ht="15.75" customHeight="1"/>
    <row r="167" spans="1:16" customFormat="1">
      <c r="A167" s="16" t="s">
        <v>571</v>
      </c>
      <c r="C167" s="1"/>
      <c r="O167" s="262" t="s">
        <v>700</v>
      </c>
      <c r="P167" s="263"/>
    </row>
    <row r="168" spans="1:16" customFormat="1">
      <c r="A168" s="97" t="s">
        <v>701</v>
      </c>
      <c r="C168" s="113" t="s">
        <v>191</v>
      </c>
      <c r="D168" s="113" t="s">
        <v>255</v>
      </c>
      <c r="E168" s="113" t="s">
        <v>256</v>
      </c>
      <c r="F168" s="113" t="s">
        <v>257</v>
      </c>
      <c r="G168" s="113" t="s">
        <v>702</v>
      </c>
      <c r="H168" s="113" t="s">
        <v>703</v>
      </c>
      <c r="I168" s="113" t="s">
        <v>704</v>
      </c>
      <c r="J168" s="113" t="s">
        <v>705</v>
      </c>
      <c r="K168" s="113" t="s">
        <v>706</v>
      </c>
      <c r="L168" s="113" t="s">
        <v>707</v>
      </c>
      <c r="M168" s="113" t="s">
        <v>708</v>
      </c>
    </row>
    <row r="169" spans="1:16" customFormat="1">
      <c r="A169" s="2" t="s">
        <v>709</v>
      </c>
      <c r="C169" s="110">
        <f t="shared" ref="C169:C170" si="33">SUM(D169:M169)</f>
        <v>0</v>
      </c>
      <c r="D169" s="111"/>
      <c r="E169" s="111"/>
      <c r="F169" s="111"/>
      <c r="G169" s="111"/>
      <c r="H169" s="111"/>
      <c r="I169" s="111"/>
      <c r="J169" s="111"/>
      <c r="K169" s="111"/>
      <c r="L169" s="111"/>
      <c r="M169" s="111"/>
      <c r="O169" s="264" t="s">
        <v>730</v>
      </c>
      <c r="P169" s="248"/>
    </row>
    <row r="170" spans="1:16" customFormat="1">
      <c r="A170" s="2" t="s">
        <v>710</v>
      </c>
      <c r="C170" s="110">
        <f t="shared" si="33"/>
        <v>0</v>
      </c>
      <c r="D170" s="111"/>
      <c r="E170" s="111"/>
      <c r="F170" s="111"/>
      <c r="G170" s="111"/>
      <c r="H170" s="111"/>
      <c r="I170" s="111"/>
      <c r="J170" s="111"/>
      <c r="K170" s="111"/>
      <c r="L170" s="111"/>
      <c r="M170" s="111"/>
      <c r="O170" s="264" t="s">
        <v>730</v>
      </c>
      <c r="P170" s="248"/>
    </row>
    <row r="171" spans="1:16" customFormat="1">
      <c r="A171" s="97" t="s">
        <v>711</v>
      </c>
      <c r="C171" s="110">
        <f t="shared" ref="C171:M171" si="34">SUM(C169:C170)</f>
        <v>0</v>
      </c>
      <c r="D171" s="110">
        <f t="shared" si="34"/>
        <v>0</v>
      </c>
      <c r="E171" s="110">
        <f t="shared" si="34"/>
        <v>0</v>
      </c>
      <c r="F171" s="110">
        <f t="shared" si="34"/>
        <v>0</v>
      </c>
      <c r="G171" s="110">
        <f t="shared" si="34"/>
        <v>0</v>
      </c>
      <c r="H171" s="110">
        <f t="shared" si="34"/>
        <v>0</v>
      </c>
      <c r="I171" s="110">
        <f t="shared" si="34"/>
        <v>0</v>
      </c>
      <c r="J171" s="110">
        <f t="shared" si="34"/>
        <v>0</v>
      </c>
      <c r="K171" s="110">
        <f t="shared" si="34"/>
        <v>0</v>
      </c>
      <c r="L171" s="110">
        <f t="shared" si="34"/>
        <v>0</v>
      </c>
      <c r="M171" s="110">
        <f t="shared" si="34"/>
        <v>0</v>
      </c>
      <c r="O171" s="265"/>
      <c r="P171" s="247"/>
    </row>
    <row r="172" spans="1:16" customFormat="1">
      <c r="C172" s="23"/>
      <c r="D172" s="6"/>
      <c r="E172" s="6"/>
      <c r="F172" s="6"/>
      <c r="G172" s="6"/>
      <c r="H172" s="6"/>
      <c r="I172" s="6"/>
      <c r="J172" s="6"/>
      <c r="K172" s="6"/>
      <c r="L172" s="6"/>
      <c r="M172" s="6"/>
      <c r="O172" s="265"/>
      <c r="P172" s="247"/>
    </row>
    <row r="173" spans="1:16" customFormat="1">
      <c r="A173" s="1" t="s">
        <v>712</v>
      </c>
      <c r="C173" s="119" t="s">
        <v>191</v>
      </c>
      <c r="D173" s="122" t="s">
        <v>255</v>
      </c>
      <c r="E173" s="122" t="s">
        <v>256</v>
      </c>
      <c r="F173" s="100" t="s">
        <v>257</v>
      </c>
      <c r="G173" s="100" t="s">
        <v>702</v>
      </c>
      <c r="H173" s="100" t="s">
        <v>703</v>
      </c>
      <c r="I173" s="100" t="s">
        <v>704</v>
      </c>
      <c r="J173" s="100" t="s">
        <v>705</v>
      </c>
      <c r="K173" s="100" t="s">
        <v>706</v>
      </c>
      <c r="L173" s="100" t="s">
        <v>707</v>
      </c>
      <c r="M173" s="100" t="s">
        <v>708</v>
      </c>
      <c r="O173" s="265"/>
      <c r="P173" s="247"/>
    </row>
    <row r="174" spans="1:16" customFormat="1">
      <c r="A174" s="2" t="s">
        <v>731</v>
      </c>
      <c r="C174" s="110">
        <f t="shared" ref="C174:C177" si="35">SUM(D174:M174)</f>
        <v>50000</v>
      </c>
      <c r="D174" s="111">
        <v>50000</v>
      </c>
      <c r="E174" s="111"/>
      <c r="F174" s="102"/>
      <c r="G174" s="103"/>
      <c r="H174" s="103"/>
      <c r="I174" s="103"/>
      <c r="J174" s="103"/>
      <c r="K174" s="103"/>
      <c r="L174" s="103"/>
      <c r="M174" s="103"/>
      <c r="O174" s="264" t="s">
        <v>732</v>
      </c>
      <c r="P174" s="248"/>
    </row>
    <row r="175" spans="1:16" customFormat="1">
      <c r="A175" s="2" t="s">
        <v>733</v>
      </c>
      <c r="C175" s="110">
        <f t="shared" si="35"/>
        <v>300000</v>
      </c>
      <c r="D175" s="111">
        <v>300000</v>
      </c>
      <c r="E175" s="111"/>
      <c r="F175" s="102"/>
      <c r="G175" s="103"/>
      <c r="H175" s="103"/>
      <c r="I175" s="103"/>
      <c r="J175" s="103"/>
      <c r="K175" s="103"/>
      <c r="L175" s="103"/>
      <c r="M175" s="103"/>
      <c r="O175" s="264" t="s">
        <v>732</v>
      </c>
      <c r="P175" s="248"/>
    </row>
    <row r="176" spans="1:16" customFormat="1">
      <c r="A176" s="2" t="s">
        <v>734</v>
      </c>
      <c r="C176" s="110">
        <f t="shared" si="35"/>
        <v>100000</v>
      </c>
      <c r="D176" s="111">
        <v>50000</v>
      </c>
      <c r="E176" s="111">
        <v>50000</v>
      </c>
      <c r="F176" s="108"/>
      <c r="G176" s="109"/>
      <c r="H176" s="109"/>
      <c r="I176" s="109"/>
      <c r="J176" s="109"/>
      <c r="K176" s="109"/>
      <c r="L176" s="109"/>
      <c r="M176" s="109"/>
      <c r="O176" s="264" t="s">
        <v>735</v>
      </c>
      <c r="P176" s="248"/>
    </row>
    <row r="177" spans="1:17" customFormat="1">
      <c r="A177" s="2" t="s">
        <v>736</v>
      </c>
      <c r="C177" s="110">
        <f t="shared" si="35"/>
        <v>50000</v>
      </c>
      <c r="D177" s="111"/>
      <c r="E177" s="111">
        <v>50000</v>
      </c>
      <c r="F177" s="114"/>
      <c r="G177" s="111"/>
      <c r="H177" s="111"/>
      <c r="I177" s="111"/>
      <c r="J177" s="111"/>
      <c r="K177" s="111"/>
      <c r="L177" s="111"/>
      <c r="M177" s="111"/>
      <c r="O177" s="264" t="s">
        <v>732</v>
      </c>
      <c r="P177" s="248"/>
    </row>
    <row r="178" spans="1:17" customFormat="1">
      <c r="A178" s="97" t="s">
        <v>713</v>
      </c>
      <c r="C178" s="110">
        <f t="shared" ref="C178:M178" si="36">SUM(C174:C177)</f>
        <v>500000</v>
      </c>
      <c r="D178" s="110">
        <f t="shared" si="36"/>
        <v>400000</v>
      </c>
      <c r="E178" s="110">
        <f t="shared" si="36"/>
        <v>100000</v>
      </c>
      <c r="F178" s="110">
        <f t="shared" si="36"/>
        <v>0</v>
      </c>
      <c r="G178" s="110">
        <f t="shared" si="36"/>
        <v>0</v>
      </c>
      <c r="H178" s="110">
        <f t="shared" si="36"/>
        <v>0</v>
      </c>
      <c r="I178" s="110">
        <f t="shared" si="36"/>
        <v>0</v>
      </c>
      <c r="J178" s="110">
        <f t="shared" si="36"/>
        <v>0</v>
      </c>
      <c r="K178" s="110">
        <f t="shared" si="36"/>
        <v>0</v>
      </c>
      <c r="L178" s="110">
        <f t="shared" si="36"/>
        <v>0</v>
      </c>
      <c r="M178" s="110">
        <f t="shared" si="36"/>
        <v>0</v>
      </c>
      <c r="O178" s="265"/>
      <c r="P178" s="247"/>
    </row>
    <row r="179" spans="1:17" customFormat="1">
      <c r="C179" s="23"/>
      <c r="D179" s="6"/>
      <c r="E179" s="6"/>
      <c r="F179" s="6"/>
      <c r="G179" s="6"/>
      <c r="H179" s="6"/>
      <c r="I179" s="6"/>
      <c r="J179" s="6"/>
      <c r="K179" s="6"/>
      <c r="L179" s="6"/>
      <c r="M179" s="6"/>
      <c r="O179" s="265"/>
      <c r="P179" s="247"/>
    </row>
    <row r="180" spans="1:17" customFormat="1">
      <c r="A180" s="16" t="s">
        <v>714</v>
      </c>
      <c r="C180" s="110">
        <f t="shared" ref="C180:M180" si="37">C178+C171</f>
        <v>500000</v>
      </c>
      <c r="D180" s="110">
        <f t="shared" si="37"/>
        <v>400000</v>
      </c>
      <c r="E180" s="110">
        <f t="shared" si="37"/>
        <v>100000</v>
      </c>
      <c r="F180" s="110">
        <f t="shared" si="37"/>
        <v>0</v>
      </c>
      <c r="G180" s="110">
        <f t="shared" si="37"/>
        <v>0</v>
      </c>
      <c r="H180" s="110">
        <f t="shared" si="37"/>
        <v>0</v>
      </c>
      <c r="I180" s="110">
        <f t="shared" si="37"/>
        <v>0</v>
      </c>
      <c r="J180" s="110">
        <f t="shared" si="37"/>
        <v>0</v>
      </c>
      <c r="K180" s="110">
        <f t="shared" si="37"/>
        <v>0</v>
      </c>
      <c r="L180" s="110">
        <f t="shared" si="37"/>
        <v>0</v>
      </c>
      <c r="M180" s="110">
        <f t="shared" si="37"/>
        <v>0</v>
      </c>
      <c r="O180" s="265"/>
      <c r="P180" s="247"/>
    </row>
    <row r="181" spans="1:17" customFormat="1">
      <c r="C181" s="23"/>
      <c r="D181" s="6"/>
      <c r="E181" s="6"/>
      <c r="F181" s="6"/>
      <c r="G181" s="6"/>
      <c r="H181" s="6"/>
      <c r="I181" s="6"/>
      <c r="J181" s="6"/>
      <c r="K181" s="6"/>
      <c r="L181" s="6"/>
      <c r="M181" s="6"/>
      <c r="O181" s="265"/>
      <c r="P181" s="247"/>
    </row>
    <row r="182" spans="1:17" customFormat="1">
      <c r="A182" s="1" t="s">
        <v>715</v>
      </c>
      <c r="C182" s="113" t="s">
        <v>191</v>
      </c>
      <c r="D182" s="113" t="s">
        <v>255</v>
      </c>
      <c r="E182" s="113" t="s">
        <v>256</v>
      </c>
      <c r="F182" s="113" t="s">
        <v>257</v>
      </c>
      <c r="G182" s="113" t="s">
        <v>702</v>
      </c>
      <c r="H182" s="113" t="s">
        <v>703</v>
      </c>
      <c r="I182" s="113" t="s">
        <v>704</v>
      </c>
      <c r="J182" s="113" t="s">
        <v>705</v>
      </c>
      <c r="K182" s="113" t="s">
        <v>706</v>
      </c>
      <c r="L182" s="113" t="s">
        <v>707</v>
      </c>
      <c r="M182" s="113" t="s">
        <v>708</v>
      </c>
      <c r="O182" s="265"/>
      <c r="P182" s="247"/>
    </row>
    <row r="183" spans="1:17" customFormat="1">
      <c r="A183" s="2" t="s">
        <v>709</v>
      </c>
      <c r="C183" s="110">
        <f t="shared" ref="C183:C184" si="38">SUM(D183:M183)</f>
        <v>0</v>
      </c>
      <c r="D183" s="111"/>
      <c r="E183" s="111"/>
      <c r="F183" s="111"/>
      <c r="G183" s="111"/>
      <c r="H183" s="111"/>
      <c r="I183" s="111"/>
      <c r="J183" s="111"/>
      <c r="K183" s="111"/>
      <c r="L183" s="111"/>
      <c r="M183" s="111"/>
      <c r="O183" s="264" t="s">
        <v>730</v>
      </c>
      <c r="P183" s="248"/>
    </row>
    <row r="184" spans="1:17" customFormat="1">
      <c r="A184" s="2" t="s">
        <v>710</v>
      </c>
      <c r="C184" s="110">
        <f t="shared" si="38"/>
        <v>0</v>
      </c>
      <c r="D184" s="111"/>
      <c r="E184" s="111"/>
      <c r="F184" s="111"/>
      <c r="G184" s="111"/>
      <c r="H184" s="111"/>
      <c r="I184" s="111"/>
      <c r="J184" s="111"/>
      <c r="K184" s="111"/>
      <c r="L184" s="111"/>
      <c r="M184" s="111"/>
      <c r="O184" s="264" t="s">
        <v>730</v>
      </c>
      <c r="P184" s="248"/>
    </row>
    <row r="185" spans="1:17" customFormat="1">
      <c r="A185" s="97" t="s">
        <v>716</v>
      </c>
      <c r="C185" s="110">
        <f>SUM(C183:C184)</f>
        <v>0</v>
      </c>
      <c r="D185" s="110">
        <f t="shared" ref="D185:M185" si="39">SUM(D183:D184)</f>
        <v>0</v>
      </c>
      <c r="E185" s="110">
        <f t="shared" si="39"/>
        <v>0</v>
      </c>
      <c r="F185" s="110">
        <f t="shared" si="39"/>
        <v>0</v>
      </c>
      <c r="G185" s="110">
        <f t="shared" si="39"/>
        <v>0</v>
      </c>
      <c r="H185" s="110">
        <f t="shared" si="39"/>
        <v>0</v>
      </c>
      <c r="I185" s="110">
        <f t="shared" si="39"/>
        <v>0</v>
      </c>
      <c r="J185" s="110">
        <f t="shared" si="39"/>
        <v>0</v>
      </c>
      <c r="K185" s="110">
        <f t="shared" si="39"/>
        <v>0</v>
      </c>
      <c r="L185" s="110">
        <f t="shared" si="39"/>
        <v>0</v>
      </c>
      <c r="M185" s="110">
        <f t="shared" si="39"/>
        <v>0</v>
      </c>
      <c r="O185" s="265"/>
      <c r="P185" s="247"/>
    </row>
    <row r="186" spans="1:17" customFormat="1">
      <c r="C186" s="23"/>
      <c r="D186" s="6"/>
      <c r="E186" s="6"/>
      <c r="F186" s="6"/>
      <c r="G186" s="6"/>
      <c r="H186" s="6"/>
      <c r="I186" s="6"/>
      <c r="J186" s="6"/>
      <c r="K186" s="6"/>
      <c r="L186" s="6"/>
      <c r="M186" s="6"/>
      <c r="O186" s="265"/>
      <c r="P186" s="247"/>
    </row>
    <row r="187" spans="1:17" customFormat="1">
      <c r="A187" s="16" t="s">
        <v>717</v>
      </c>
      <c r="C187" s="113" t="s">
        <v>191</v>
      </c>
      <c r="D187" s="113" t="s">
        <v>255</v>
      </c>
      <c r="E187" s="113" t="s">
        <v>256</v>
      </c>
      <c r="F187" s="113" t="s">
        <v>257</v>
      </c>
      <c r="G187" s="113" t="s">
        <v>702</v>
      </c>
      <c r="H187" s="113" t="s">
        <v>703</v>
      </c>
      <c r="I187" s="113" t="s">
        <v>704</v>
      </c>
      <c r="J187" s="113" t="s">
        <v>705</v>
      </c>
      <c r="K187" s="113" t="s">
        <v>706</v>
      </c>
      <c r="L187" s="113" t="s">
        <v>707</v>
      </c>
      <c r="M187" s="113" t="s">
        <v>708</v>
      </c>
      <c r="O187" s="265"/>
      <c r="P187" s="247"/>
    </row>
    <row r="188" spans="1:17" customFormat="1">
      <c r="A188" s="2" t="s">
        <v>515</v>
      </c>
      <c r="C188" s="110">
        <f>SUM(D188:M188)</f>
        <v>0</v>
      </c>
      <c r="D188" s="111"/>
      <c r="E188" s="111"/>
      <c r="F188" s="111"/>
      <c r="G188" s="111"/>
      <c r="H188" s="111"/>
      <c r="I188" s="111"/>
      <c r="J188" s="111"/>
      <c r="K188" s="111"/>
      <c r="L188" s="111"/>
      <c r="M188" s="111"/>
      <c r="O188" s="264">
        <v>1000000</v>
      </c>
      <c r="P188" s="248"/>
      <c r="Q188" s="2" t="s">
        <v>737</v>
      </c>
    </row>
    <row r="189" spans="1:17" customFormat="1">
      <c r="A189" s="3" t="s">
        <v>718</v>
      </c>
      <c r="C189" s="110" t="s">
        <v>730</v>
      </c>
      <c r="D189" s="111"/>
      <c r="E189" s="111">
        <v>225000</v>
      </c>
      <c r="F189" s="111">
        <v>300000</v>
      </c>
      <c r="G189" s="111">
        <v>300000</v>
      </c>
      <c r="H189" s="111"/>
      <c r="I189" s="111"/>
      <c r="J189" s="111"/>
      <c r="K189" s="111"/>
      <c r="L189" s="111"/>
      <c r="M189" s="111"/>
      <c r="O189" s="264">
        <v>1000</v>
      </c>
      <c r="P189" s="248"/>
      <c r="Q189" s="2" t="s">
        <v>738</v>
      </c>
    </row>
    <row r="190" spans="1:17" customFormat="1">
      <c r="A190" s="2" t="s">
        <v>719</v>
      </c>
      <c r="C190" s="110">
        <f t="shared" ref="C190:C191" si="40">SUM(D190:M190)</f>
        <v>0</v>
      </c>
      <c r="D190" s="111"/>
      <c r="E190" s="111"/>
      <c r="F190" s="111"/>
      <c r="G190" s="111"/>
      <c r="H190" s="111"/>
      <c r="I190" s="111"/>
      <c r="J190" s="111"/>
      <c r="K190" s="111"/>
      <c r="L190" s="111"/>
      <c r="M190" s="111"/>
      <c r="O190" s="266">
        <v>0.3</v>
      </c>
      <c r="P190" s="248"/>
      <c r="Q190" s="2" t="s">
        <v>739</v>
      </c>
    </row>
    <row r="191" spans="1:17" customFormat="1">
      <c r="A191" s="2" t="s">
        <v>720</v>
      </c>
      <c r="C191" s="110">
        <f t="shared" si="40"/>
        <v>0</v>
      </c>
      <c r="D191" s="111"/>
      <c r="E191" s="111"/>
      <c r="F191" s="111"/>
      <c r="G191" s="111"/>
      <c r="H191" s="111"/>
      <c r="I191" s="111"/>
      <c r="J191" s="111"/>
      <c r="K191" s="111"/>
      <c r="L191" s="111"/>
      <c r="M191" s="111"/>
      <c r="O191" s="264"/>
      <c r="P191" s="248"/>
    </row>
    <row r="192" spans="1:17" customFormat="1">
      <c r="A192" s="2" t="s">
        <v>721</v>
      </c>
      <c r="C192" s="110" t="s">
        <v>730</v>
      </c>
      <c r="D192" s="111"/>
      <c r="E192" s="111">
        <v>75000</v>
      </c>
      <c r="F192" s="111">
        <v>100000</v>
      </c>
      <c r="G192" s="111">
        <v>100000</v>
      </c>
      <c r="H192" s="111"/>
      <c r="I192" s="111"/>
      <c r="J192" s="111"/>
      <c r="K192" s="111"/>
      <c r="L192" s="111"/>
      <c r="M192" s="111"/>
      <c r="O192" s="264" t="s">
        <v>740</v>
      </c>
      <c r="P192" s="248"/>
    </row>
    <row r="193" spans="1:21" customFormat="1">
      <c r="A193" s="2" t="s">
        <v>722</v>
      </c>
      <c r="C193" s="110">
        <f>SUM(D193:M193)</f>
        <v>0</v>
      </c>
      <c r="D193" s="111"/>
      <c r="E193" s="111"/>
      <c r="F193" s="111"/>
      <c r="G193" s="111"/>
      <c r="H193" s="111"/>
      <c r="I193" s="111"/>
      <c r="J193" s="111"/>
      <c r="K193" s="111"/>
      <c r="L193" s="111"/>
      <c r="M193" s="111"/>
      <c r="O193" s="264"/>
      <c r="P193" s="248"/>
    </row>
    <row r="194" spans="1:21" customFormat="1">
      <c r="A194" s="1"/>
      <c r="C194" s="6"/>
      <c r="D194" s="6"/>
      <c r="E194" s="6"/>
      <c r="F194" s="6"/>
      <c r="G194" s="6"/>
      <c r="H194" s="6"/>
      <c r="I194" s="6"/>
      <c r="J194" s="6"/>
      <c r="K194" s="6"/>
      <c r="L194" s="6"/>
      <c r="M194" s="6"/>
    </row>
    <row r="195" spans="1:21" customFormat="1">
      <c r="A195" s="16" t="s">
        <v>723</v>
      </c>
      <c r="C195" s="110">
        <f t="shared" ref="C195:M195" si="41">SUM(C188:C193)</f>
        <v>0</v>
      </c>
      <c r="D195" s="120">
        <f t="shared" si="41"/>
        <v>0</v>
      </c>
      <c r="E195" s="120">
        <f t="shared" si="41"/>
        <v>300000</v>
      </c>
      <c r="F195" s="120">
        <f t="shared" si="41"/>
        <v>400000</v>
      </c>
      <c r="G195" s="120">
        <f t="shared" si="41"/>
        <v>400000</v>
      </c>
      <c r="H195" s="120">
        <f t="shared" si="41"/>
        <v>0</v>
      </c>
      <c r="I195" s="120">
        <f t="shared" si="41"/>
        <v>0</v>
      </c>
      <c r="J195" s="120">
        <f t="shared" si="41"/>
        <v>0</v>
      </c>
      <c r="K195" s="120">
        <f t="shared" si="41"/>
        <v>0</v>
      </c>
      <c r="L195" s="120">
        <f t="shared" si="41"/>
        <v>0</v>
      </c>
      <c r="M195" s="120">
        <f t="shared" si="41"/>
        <v>0</v>
      </c>
    </row>
    <row r="196" spans="1:21" customFormat="1" ht="15.75" customHeight="1"/>
    <row r="197" spans="1:21" customFormat="1">
      <c r="C197" s="118" t="s">
        <v>724</v>
      </c>
      <c r="D197" s="110">
        <f>D195-D180-D185-D171</f>
        <v>-400000</v>
      </c>
      <c r="E197" s="110">
        <f t="shared" ref="E197:M197" si="42">E195-E180-E185</f>
        <v>200000</v>
      </c>
      <c r="F197" s="110">
        <f t="shared" si="42"/>
        <v>400000</v>
      </c>
      <c r="G197" s="110">
        <f t="shared" si="42"/>
        <v>400000</v>
      </c>
      <c r="H197" s="110">
        <f t="shared" si="42"/>
        <v>0</v>
      </c>
      <c r="I197" s="110">
        <f t="shared" si="42"/>
        <v>0</v>
      </c>
      <c r="J197" s="110">
        <f t="shared" si="42"/>
        <v>0</v>
      </c>
      <c r="K197" s="110">
        <f t="shared" si="42"/>
        <v>0</v>
      </c>
      <c r="L197" s="110">
        <f t="shared" si="42"/>
        <v>0</v>
      </c>
      <c r="M197" s="110">
        <f t="shared" si="42"/>
        <v>0</v>
      </c>
    </row>
    <row r="198" spans="1:21" customFormat="1">
      <c r="C198" s="118" t="s">
        <v>725</v>
      </c>
      <c r="D198" s="110">
        <f>D197</f>
        <v>-400000</v>
      </c>
      <c r="E198" s="110">
        <f t="shared" ref="E198:M198" si="43">D198+E197</f>
        <v>-200000</v>
      </c>
      <c r="F198" s="110">
        <f t="shared" si="43"/>
        <v>200000</v>
      </c>
      <c r="G198" s="110">
        <f t="shared" si="43"/>
        <v>600000</v>
      </c>
      <c r="H198" s="110">
        <f t="shared" si="43"/>
        <v>600000</v>
      </c>
      <c r="I198" s="110">
        <f t="shared" si="43"/>
        <v>600000</v>
      </c>
      <c r="J198" s="110">
        <f t="shared" si="43"/>
        <v>600000</v>
      </c>
      <c r="K198" s="110">
        <f t="shared" si="43"/>
        <v>600000</v>
      </c>
      <c r="L198" s="110">
        <f t="shared" si="43"/>
        <v>600000</v>
      </c>
      <c r="M198" s="110">
        <f t="shared" si="43"/>
        <v>600000</v>
      </c>
    </row>
    <row r="199" spans="1:21" customFormat="1">
      <c r="C199" s="6"/>
      <c r="D199" s="6">
        <f t="shared" ref="D199:F199" si="44">IF(D198&lt;0,1,-(C198/D197))</f>
        <v>1</v>
      </c>
      <c r="E199" s="6">
        <f t="shared" si="44"/>
        <v>1</v>
      </c>
      <c r="F199" s="6">
        <f t="shared" si="44"/>
        <v>0.5</v>
      </c>
      <c r="G199" s="6"/>
      <c r="H199" s="6"/>
      <c r="I199" s="6"/>
      <c r="J199" s="6"/>
      <c r="K199" s="6"/>
      <c r="L199" s="6"/>
      <c r="M199" s="6"/>
    </row>
    <row r="200" spans="1:21" customFormat="1" ht="15.75" customHeight="1"/>
    <row r="201" spans="1:21" customFormat="1">
      <c r="A201" s="4" t="s">
        <v>767</v>
      </c>
      <c r="B201" s="104"/>
      <c r="C201" s="104"/>
      <c r="D201" s="104"/>
      <c r="E201" s="104"/>
      <c r="F201" s="104"/>
      <c r="G201" s="104"/>
      <c r="H201" s="104"/>
      <c r="I201" s="104"/>
      <c r="J201" s="104"/>
      <c r="K201" s="104"/>
      <c r="L201" s="104"/>
      <c r="M201" s="104"/>
      <c r="N201" s="104"/>
      <c r="O201" s="104"/>
      <c r="P201" s="104"/>
      <c r="Q201" s="104"/>
      <c r="R201" s="104"/>
      <c r="S201" s="2"/>
      <c r="T201" s="2"/>
      <c r="U201" s="2"/>
    </row>
    <row r="202" spans="1:21" customFormat="1" ht="15.75" customHeight="1"/>
    <row r="203" spans="1:21" customFormat="1">
      <c r="A203" s="1" t="s">
        <v>745</v>
      </c>
      <c r="B203" s="2" t="s">
        <v>746</v>
      </c>
      <c r="C203" s="1"/>
      <c r="D203" s="123">
        <f>(C234-C219)/C219</f>
        <v>1.2</v>
      </c>
      <c r="O203" s="5"/>
      <c r="P203" s="5"/>
    </row>
    <row r="204" spans="1:21" customFormat="1">
      <c r="A204" s="2" t="s">
        <v>777</v>
      </c>
      <c r="C204" s="1"/>
      <c r="O204" s="5"/>
      <c r="P204" s="5"/>
    </row>
    <row r="205" spans="1:21" customFormat="1">
      <c r="A205" s="1"/>
      <c r="C205" s="1"/>
      <c r="O205" s="5"/>
      <c r="P205" s="5"/>
    </row>
    <row r="206" spans="1:21" customFormat="1">
      <c r="A206" s="16" t="s">
        <v>571</v>
      </c>
      <c r="C206" s="1"/>
      <c r="O206" s="262" t="s">
        <v>700</v>
      </c>
      <c r="P206" s="263"/>
    </row>
    <row r="207" spans="1:21" customFormat="1">
      <c r="A207" s="97" t="s">
        <v>701</v>
      </c>
      <c r="C207" s="113" t="s">
        <v>191</v>
      </c>
      <c r="D207" s="113" t="s">
        <v>255</v>
      </c>
      <c r="E207" s="113" t="s">
        <v>256</v>
      </c>
      <c r="F207" s="113" t="s">
        <v>257</v>
      </c>
      <c r="G207" s="113" t="s">
        <v>702</v>
      </c>
      <c r="H207" s="113" t="s">
        <v>703</v>
      </c>
      <c r="I207" s="113" t="s">
        <v>704</v>
      </c>
      <c r="J207" s="113" t="s">
        <v>705</v>
      </c>
      <c r="K207" s="113" t="s">
        <v>706</v>
      </c>
      <c r="L207" s="113" t="s">
        <v>707</v>
      </c>
      <c r="M207" s="113" t="s">
        <v>708</v>
      </c>
    </row>
    <row r="208" spans="1:21" customFormat="1">
      <c r="A208" s="2" t="s">
        <v>709</v>
      </c>
      <c r="C208" s="110">
        <f t="shared" ref="C208:C209" si="45">SUM(D208:M208)</f>
        <v>0</v>
      </c>
      <c r="D208" s="111"/>
      <c r="E208" s="111"/>
      <c r="F208" s="111"/>
      <c r="G208" s="111"/>
      <c r="H208" s="111"/>
      <c r="I208" s="111"/>
      <c r="J208" s="111"/>
      <c r="K208" s="111"/>
      <c r="L208" s="111"/>
      <c r="M208" s="111"/>
      <c r="O208" s="264" t="s">
        <v>730</v>
      </c>
      <c r="P208" s="248"/>
    </row>
    <row r="209" spans="1:16" customFormat="1">
      <c r="A209" s="2" t="s">
        <v>710</v>
      </c>
      <c r="C209" s="110">
        <f t="shared" si="45"/>
        <v>0</v>
      </c>
      <c r="D209" s="111"/>
      <c r="E209" s="111"/>
      <c r="F209" s="111"/>
      <c r="G209" s="111"/>
      <c r="H209" s="111"/>
      <c r="I209" s="111"/>
      <c r="J209" s="111"/>
      <c r="K209" s="111"/>
      <c r="L209" s="111"/>
      <c r="M209" s="111"/>
      <c r="O209" s="264" t="s">
        <v>730</v>
      </c>
      <c r="P209" s="248"/>
    </row>
    <row r="210" spans="1:16" customFormat="1">
      <c r="A210" s="97" t="s">
        <v>711</v>
      </c>
      <c r="C210" s="110">
        <f t="shared" ref="C210:M210" si="46">SUM(C208:C209)</f>
        <v>0</v>
      </c>
      <c r="D210" s="110">
        <f t="shared" si="46"/>
        <v>0</v>
      </c>
      <c r="E210" s="110">
        <f t="shared" si="46"/>
        <v>0</v>
      </c>
      <c r="F210" s="110">
        <f t="shared" si="46"/>
        <v>0</v>
      </c>
      <c r="G210" s="110">
        <f t="shared" si="46"/>
        <v>0</v>
      </c>
      <c r="H210" s="110">
        <f t="shared" si="46"/>
        <v>0</v>
      </c>
      <c r="I210" s="110">
        <f t="shared" si="46"/>
        <v>0</v>
      </c>
      <c r="J210" s="110">
        <f t="shared" si="46"/>
        <v>0</v>
      </c>
      <c r="K210" s="110">
        <f t="shared" si="46"/>
        <v>0</v>
      </c>
      <c r="L210" s="110">
        <f t="shared" si="46"/>
        <v>0</v>
      </c>
      <c r="M210" s="110">
        <f t="shared" si="46"/>
        <v>0</v>
      </c>
      <c r="O210" s="265"/>
      <c r="P210" s="247"/>
    </row>
    <row r="211" spans="1:16" customFormat="1">
      <c r="C211" s="23"/>
      <c r="D211" s="6"/>
      <c r="E211" s="6"/>
      <c r="F211" s="6"/>
      <c r="G211" s="6"/>
      <c r="H211" s="6"/>
      <c r="I211" s="6"/>
      <c r="J211" s="6"/>
      <c r="K211" s="6"/>
      <c r="L211" s="6"/>
      <c r="M211" s="6"/>
      <c r="O211" s="265"/>
      <c r="P211" s="247"/>
    </row>
    <row r="212" spans="1:16" customFormat="1">
      <c r="A212" s="1" t="s">
        <v>712</v>
      </c>
      <c r="C212" s="113" t="s">
        <v>191</v>
      </c>
      <c r="D212" s="113" t="s">
        <v>255</v>
      </c>
      <c r="E212" s="113" t="s">
        <v>256</v>
      </c>
      <c r="F212" s="113" t="s">
        <v>257</v>
      </c>
      <c r="G212" s="113" t="s">
        <v>702</v>
      </c>
      <c r="H212" s="113" t="s">
        <v>703</v>
      </c>
      <c r="I212" s="113" t="s">
        <v>704</v>
      </c>
      <c r="J212" s="113" t="s">
        <v>705</v>
      </c>
      <c r="K212" s="113" t="s">
        <v>706</v>
      </c>
      <c r="L212" s="113" t="s">
        <v>707</v>
      </c>
      <c r="M212" s="113" t="s">
        <v>708</v>
      </c>
      <c r="O212" s="265"/>
      <c r="P212" s="247"/>
    </row>
    <row r="213" spans="1:16" customFormat="1">
      <c r="A213" s="2" t="s">
        <v>731</v>
      </c>
      <c r="C213" s="110">
        <f t="shared" ref="C213:C216" si="47">SUM(D213:M213)</f>
        <v>50000</v>
      </c>
      <c r="D213" s="111">
        <v>50000</v>
      </c>
      <c r="E213" s="111"/>
      <c r="F213" s="111"/>
      <c r="G213" s="111"/>
      <c r="H213" s="111"/>
      <c r="I213" s="111"/>
      <c r="J213" s="111"/>
      <c r="K213" s="111"/>
      <c r="L213" s="111"/>
      <c r="M213" s="111"/>
      <c r="O213" s="264" t="s">
        <v>732</v>
      </c>
      <c r="P213" s="248"/>
    </row>
    <row r="214" spans="1:16" customFormat="1">
      <c r="A214" s="2" t="s">
        <v>733</v>
      </c>
      <c r="C214" s="110">
        <f t="shared" si="47"/>
        <v>300000</v>
      </c>
      <c r="D214" s="111">
        <v>300000</v>
      </c>
      <c r="E214" s="111"/>
      <c r="F214" s="111"/>
      <c r="G214" s="111"/>
      <c r="H214" s="111"/>
      <c r="I214" s="111"/>
      <c r="J214" s="111"/>
      <c r="K214" s="111"/>
      <c r="L214" s="111"/>
      <c r="M214" s="111"/>
      <c r="O214" s="264" t="s">
        <v>732</v>
      </c>
      <c r="P214" s="248"/>
    </row>
    <row r="215" spans="1:16" customFormat="1">
      <c r="A215" s="2" t="s">
        <v>734</v>
      </c>
      <c r="C215" s="110">
        <f t="shared" si="47"/>
        <v>100000</v>
      </c>
      <c r="D215" s="111">
        <v>50000</v>
      </c>
      <c r="E215" s="111">
        <v>50000</v>
      </c>
      <c r="F215" s="111"/>
      <c r="G215" s="111"/>
      <c r="H215" s="111"/>
      <c r="I215" s="111"/>
      <c r="J215" s="111"/>
      <c r="K215" s="111"/>
      <c r="L215" s="111"/>
      <c r="M215" s="111"/>
      <c r="O215" s="264" t="s">
        <v>735</v>
      </c>
      <c r="P215" s="248"/>
    </row>
    <row r="216" spans="1:16" customFormat="1">
      <c r="A216" s="2" t="s">
        <v>736</v>
      </c>
      <c r="C216" s="110">
        <f t="shared" si="47"/>
        <v>50000</v>
      </c>
      <c r="D216" s="111"/>
      <c r="E216" s="111">
        <v>50000</v>
      </c>
      <c r="F216" s="111"/>
      <c r="G216" s="111"/>
      <c r="H216" s="111"/>
      <c r="I216" s="111"/>
      <c r="J216" s="111"/>
      <c r="K216" s="111"/>
      <c r="L216" s="111"/>
      <c r="M216" s="111"/>
      <c r="O216" s="264" t="s">
        <v>732</v>
      </c>
      <c r="P216" s="248"/>
    </row>
    <row r="217" spans="1:16" customFormat="1">
      <c r="A217" s="97" t="s">
        <v>713</v>
      </c>
      <c r="C217" s="110">
        <f t="shared" ref="C217:M217" si="48">SUM(C213:C216)</f>
        <v>500000</v>
      </c>
      <c r="D217" s="110">
        <f t="shared" si="48"/>
        <v>400000</v>
      </c>
      <c r="E217" s="110">
        <f t="shared" si="48"/>
        <v>100000</v>
      </c>
      <c r="F217" s="110">
        <f t="shared" si="48"/>
        <v>0</v>
      </c>
      <c r="G217" s="110">
        <f t="shared" si="48"/>
        <v>0</v>
      </c>
      <c r="H217" s="110">
        <f t="shared" si="48"/>
        <v>0</v>
      </c>
      <c r="I217" s="110">
        <f t="shared" si="48"/>
        <v>0</v>
      </c>
      <c r="J217" s="110">
        <f t="shared" si="48"/>
        <v>0</v>
      </c>
      <c r="K217" s="110">
        <f t="shared" si="48"/>
        <v>0</v>
      </c>
      <c r="L217" s="110">
        <f t="shared" si="48"/>
        <v>0</v>
      </c>
      <c r="M217" s="110">
        <f t="shared" si="48"/>
        <v>0</v>
      </c>
      <c r="O217" s="265"/>
      <c r="P217" s="247"/>
    </row>
    <row r="218" spans="1:16" customFormat="1">
      <c r="C218" s="23"/>
      <c r="D218" s="6"/>
      <c r="E218" s="6"/>
      <c r="F218" s="6"/>
      <c r="G218" s="6"/>
      <c r="H218" s="6"/>
      <c r="I218" s="6"/>
      <c r="J218" s="6"/>
      <c r="K218" s="6"/>
      <c r="L218" s="6"/>
      <c r="M218" s="6"/>
      <c r="O218" s="265"/>
      <c r="P218" s="247"/>
    </row>
    <row r="219" spans="1:16" customFormat="1">
      <c r="A219" s="16" t="s">
        <v>714</v>
      </c>
      <c r="C219" s="110">
        <f t="shared" ref="C219:M219" si="49">C217+C210</f>
        <v>500000</v>
      </c>
      <c r="D219" s="110">
        <f t="shared" si="49"/>
        <v>400000</v>
      </c>
      <c r="E219" s="110">
        <f t="shared" si="49"/>
        <v>100000</v>
      </c>
      <c r="F219" s="110">
        <f t="shared" si="49"/>
        <v>0</v>
      </c>
      <c r="G219" s="110">
        <f t="shared" si="49"/>
        <v>0</v>
      </c>
      <c r="H219" s="110">
        <f t="shared" si="49"/>
        <v>0</v>
      </c>
      <c r="I219" s="110">
        <f t="shared" si="49"/>
        <v>0</v>
      </c>
      <c r="J219" s="110">
        <f t="shared" si="49"/>
        <v>0</v>
      </c>
      <c r="K219" s="110">
        <f t="shared" si="49"/>
        <v>0</v>
      </c>
      <c r="L219" s="110">
        <f t="shared" si="49"/>
        <v>0</v>
      </c>
      <c r="M219" s="110">
        <f t="shared" si="49"/>
        <v>0</v>
      </c>
      <c r="O219" s="265"/>
      <c r="P219" s="247"/>
    </row>
    <row r="220" spans="1:16" customFormat="1">
      <c r="C220" s="23"/>
      <c r="D220" s="6"/>
      <c r="E220" s="6"/>
      <c r="F220" s="6"/>
      <c r="G220" s="6"/>
      <c r="H220" s="6"/>
      <c r="I220" s="6"/>
      <c r="J220" s="6"/>
      <c r="K220" s="6"/>
      <c r="L220" s="6"/>
      <c r="M220" s="6"/>
      <c r="O220" s="265"/>
      <c r="P220" s="247"/>
    </row>
    <row r="221" spans="1:16" customFormat="1">
      <c r="A221" s="1" t="s">
        <v>715</v>
      </c>
      <c r="C221" s="113" t="s">
        <v>191</v>
      </c>
      <c r="D221" s="113" t="s">
        <v>255</v>
      </c>
      <c r="E221" s="113" t="s">
        <v>256</v>
      </c>
      <c r="F221" s="113" t="s">
        <v>257</v>
      </c>
      <c r="G221" s="113" t="s">
        <v>702</v>
      </c>
      <c r="H221" s="113" t="s">
        <v>703</v>
      </c>
      <c r="I221" s="113" t="s">
        <v>704</v>
      </c>
      <c r="J221" s="113" t="s">
        <v>705</v>
      </c>
      <c r="K221" s="113" t="s">
        <v>706</v>
      </c>
      <c r="L221" s="113" t="s">
        <v>707</v>
      </c>
      <c r="M221" s="113" t="s">
        <v>708</v>
      </c>
      <c r="O221" s="265"/>
      <c r="P221" s="247"/>
    </row>
    <row r="222" spans="1:16" customFormat="1">
      <c r="A222" s="2" t="s">
        <v>709</v>
      </c>
      <c r="C222" s="110">
        <f t="shared" ref="C222:C223" si="50">SUM(D222:M222)</f>
        <v>0</v>
      </c>
      <c r="D222" s="111"/>
      <c r="E222" s="111"/>
      <c r="F222" s="111"/>
      <c r="G222" s="111"/>
      <c r="H222" s="111"/>
      <c r="I222" s="111"/>
      <c r="J222" s="111"/>
      <c r="K222" s="111"/>
      <c r="L222" s="111"/>
      <c r="M222" s="111"/>
      <c r="O222" s="264" t="s">
        <v>730</v>
      </c>
      <c r="P222" s="248"/>
    </row>
    <row r="223" spans="1:16" customFormat="1">
      <c r="A223" s="2" t="s">
        <v>710</v>
      </c>
      <c r="C223" s="110">
        <f t="shared" si="50"/>
        <v>0</v>
      </c>
      <c r="D223" s="111"/>
      <c r="E223" s="111"/>
      <c r="F223" s="111"/>
      <c r="G223" s="111"/>
      <c r="H223" s="111"/>
      <c r="I223" s="111"/>
      <c r="J223" s="111"/>
      <c r="K223" s="111"/>
      <c r="L223" s="111"/>
      <c r="M223" s="111"/>
      <c r="O223" s="264" t="s">
        <v>730</v>
      </c>
      <c r="P223" s="248"/>
    </row>
    <row r="224" spans="1:16" customFormat="1">
      <c r="A224" s="97" t="s">
        <v>716</v>
      </c>
      <c r="C224" s="110">
        <f>SUM(C222:C223)</f>
        <v>0</v>
      </c>
      <c r="D224" s="110">
        <f t="shared" ref="D224:M224" si="51">SUM(D222:D223)</f>
        <v>0</v>
      </c>
      <c r="E224" s="110">
        <f t="shared" si="51"/>
        <v>0</v>
      </c>
      <c r="F224" s="110">
        <f t="shared" si="51"/>
        <v>0</v>
      </c>
      <c r="G224" s="110">
        <f t="shared" si="51"/>
        <v>0</v>
      </c>
      <c r="H224" s="110">
        <f t="shared" si="51"/>
        <v>0</v>
      </c>
      <c r="I224" s="110">
        <f t="shared" si="51"/>
        <v>0</v>
      </c>
      <c r="J224" s="110">
        <f t="shared" si="51"/>
        <v>0</v>
      </c>
      <c r="K224" s="110">
        <f t="shared" si="51"/>
        <v>0</v>
      </c>
      <c r="L224" s="110">
        <f t="shared" si="51"/>
        <v>0</v>
      </c>
      <c r="M224" s="110">
        <f t="shared" si="51"/>
        <v>0</v>
      </c>
      <c r="O224" s="265"/>
      <c r="P224" s="247"/>
    </row>
    <row r="225" spans="1:21" customFormat="1">
      <c r="C225" s="23"/>
      <c r="D225" s="6"/>
      <c r="E225" s="6"/>
      <c r="F225" s="6"/>
      <c r="G225" s="6"/>
      <c r="H225" s="6"/>
      <c r="I225" s="6"/>
      <c r="J225" s="6"/>
      <c r="K225" s="6"/>
      <c r="L225" s="6"/>
      <c r="M225" s="6"/>
      <c r="O225" s="265"/>
      <c r="P225" s="247"/>
    </row>
    <row r="226" spans="1:21" customFormat="1">
      <c r="A226" s="16" t="s">
        <v>717</v>
      </c>
      <c r="C226" s="113" t="s">
        <v>191</v>
      </c>
      <c r="D226" s="113" t="s">
        <v>255</v>
      </c>
      <c r="E226" s="113" t="s">
        <v>256</v>
      </c>
      <c r="F226" s="113" t="s">
        <v>257</v>
      </c>
      <c r="G226" s="113" t="s">
        <v>702</v>
      </c>
      <c r="H226" s="113" t="s">
        <v>703</v>
      </c>
      <c r="I226" s="113" t="s">
        <v>704</v>
      </c>
      <c r="J226" s="113" t="s">
        <v>705</v>
      </c>
      <c r="K226" s="113" t="s">
        <v>706</v>
      </c>
      <c r="L226" s="113" t="s">
        <v>707</v>
      </c>
      <c r="M226" s="113" t="s">
        <v>708</v>
      </c>
      <c r="O226" s="265"/>
      <c r="P226" s="247"/>
    </row>
    <row r="227" spans="1:21" customFormat="1">
      <c r="A227" s="2" t="s">
        <v>515</v>
      </c>
      <c r="C227" s="110">
        <f t="shared" ref="C227:C232" si="52">SUM(D227:M227)</f>
        <v>0</v>
      </c>
      <c r="D227" s="111"/>
      <c r="E227" s="111"/>
      <c r="F227" s="111"/>
      <c r="G227" s="111"/>
      <c r="H227" s="111"/>
      <c r="I227" s="111"/>
      <c r="J227" s="111"/>
      <c r="K227" s="111"/>
      <c r="L227" s="111"/>
      <c r="M227" s="111"/>
      <c r="O227" s="264">
        <v>1000000</v>
      </c>
      <c r="P227" s="248"/>
      <c r="Q227" s="2" t="s">
        <v>737</v>
      </c>
    </row>
    <row r="228" spans="1:21" customFormat="1">
      <c r="A228" s="3" t="s">
        <v>718</v>
      </c>
      <c r="C228" s="110">
        <f t="shared" si="52"/>
        <v>825000</v>
      </c>
      <c r="D228" s="111"/>
      <c r="E228" s="111">
        <v>225000</v>
      </c>
      <c r="F228" s="111">
        <v>300000</v>
      </c>
      <c r="G228" s="111">
        <v>300000</v>
      </c>
      <c r="H228" s="111"/>
      <c r="I228" s="111"/>
      <c r="J228" s="111"/>
      <c r="K228" s="111"/>
      <c r="L228" s="111"/>
      <c r="M228" s="111"/>
      <c r="O228" s="264">
        <v>1000</v>
      </c>
      <c r="P228" s="248"/>
      <c r="Q228" s="2" t="s">
        <v>738</v>
      </c>
    </row>
    <row r="229" spans="1:21" customFormat="1">
      <c r="A229" s="2" t="s">
        <v>719</v>
      </c>
      <c r="C229" s="110">
        <f t="shared" si="52"/>
        <v>0</v>
      </c>
      <c r="D229" s="111"/>
      <c r="E229" s="111"/>
      <c r="F229" s="111"/>
      <c r="G229" s="111"/>
      <c r="H229" s="111"/>
      <c r="I229" s="111"/>
      <c r="J229" s="111"/>
      <c r="K229" s="111"/>
      <c r="L229" s="111"/>
      <c r="M229" s="111"/>
      <c r="O229" s="266">
        <v>0.3</v>
      </c>
      <c r="P229" s="248"/>
      <c r="Q229" s="2" t="s">
        <v>739</v>
      </c>
    </row>
    <row r="230" spans="1:21" customFormat="1">
      <c r="A230" s="2" t="s">
        <v>720</v>
      </c>
      <c r="C230" s="110">
        <f t="shared" si="52"/>
        <v>0</v>
      </c>
      <c r="D230" s="111"/>
      <c r="E230" s="111"/>
      <c r="F230" s="111"/>
      <c r="G230" s="111"/>
      <c r="H230" s="111"/>
      <c r="I230" s="111"/>
      <c r="J230" s="111"/>
      <c r="K230" s="111"/>
      <c r="L230" s="111"/>
      <c r="M230" s="111"/>
      <c r="O230" s="264"/>
      <c r="P230" s="248"/>
    </row>
    <row r="231" spans="1:21" customFormat="1">
      <c r="A231" s="2" t="s">
        <v>721</v>
      </c>
      <c r="C231" s="110">
        <f t="shared" si="52"/>
        <v>275000</v>
      </c>
      <c r="D231" s="111"/>
      <c r="E231" s="111">
        <v>75000</v>
      </c>
      <c r="F231" s="111">
        <v>100000</v>
      </c>
      <c r="G231" s="111">
        <v>100000</v>
      </c>
      <c r="H231" s="111"/>
      <c r="I231" s="111"/>
      <c r="J231" s="111"/>
      <c r="K231" s="111"/>
      <c r="L231" s="111"/>
      <c r="M231" s="111"/>
      <c r="O231" s="264" t="s">
        <v>740</v>
      </c>
      <c r="P231" s="248"/>
    </row>
    <row r="232" spans="1:21" customFormat="1">
      <c r="A232" s="2" t="s">
        <v>722</v>
      </c>
      <c r="C232" s="110">
        <f t="shared" si="52"/>
        <v>0</v>
      </c>
      <c r="D232" s="111"/>
      <c r="E232" s="111"/>
      <c r="F232" s="111"/>
      <c r="G232" s="111"/>
      <c r="H232" s="111"/>
      <c r="I232" s="111"/>
      <c r="J232" s="111"/>
      <c r="K232" s="111"/>
      <c r="L232" s="111"/>
      <c r="M232" s="111"/>
      <c r="O232" s="264"/>
      <c r="P232" s="248"/>
    </row>
    <row r="233" spans="1:21" customFormat="1">
      <c r="A233" s="1"/>
      <c r="C233" s="6"/>
      <c r="D233" s="6"/>
      <c r="E233" s="6"/>
      <c r="F233" s="6"/>
      <c r="G233" s="6"/>
      <c r="H233" s="6"/>
      <c r="I233" s="6"/>
      <c r="J233" s="6"/>
      <c r="K233" s="6"/>
      <c r="L233" s="6"/>
      <c r="M233" s="6"/>
    </row>
    <row r="234" spans="1:21" customFormat="1">
      <c r="A234" s="16" t="s">
        <v>723</v>
      </c>
      <c r="C234" s="110">
        <f t="shared" ref="C234:M234" si="53">SUM(C227:C232)</f>
        <v>1100000</v>
      </c>
      <c r="D234" s="120">
        <f t="shared" si="53"/>
        <v>0</v>
      </c>
      <c r="E234" s="120">
        <f t="shared" si="53"/>
        <v>300000</v>
      </c>
      <c r="F234" s="120">
        <f t="shared" si="53"/>
        <v>400000</v>
      </c>
      <c r="G234" s="120">
        <f t="shared" si="53"/>
        <v>400000</v>
      </c>
      <c r="H234" s="120">
        <f t="shared" si="53"/>
        <v>0</v>
      </c>
      <c r="I234" s="120">
        <f t="shared" si="53"/>
        <v>0</v>
      </c>
      <c r="J234" s="120">
        <f t="shared" si="53"/>
        <v>0</v>
      </c>
      <c r="K234" s="120">
        <f t="shared" si="53"/>
        <v>0</v>
      </c>
      <c r="L234" s="120">
        <f t="shared" si="53"/>
        <v>0</v>
      </c>
      <c r="M234" s="120">
        <f t="shared" si="53"/>
        <v>0</v>
      </c>
    </row>
    <row r="235" spans="1:21" customFormat="1" ht="15.75" customHeight="1"/>
    <row r="236" spans="1:21" customFormat="1">
      <c r="C236" s="118" t="s">
        <v>724</v>
      </c>
      <c r="D236" s="110">
        <f>D234-D219-D224-D210</f>
        <v>-400000</v>
      </c>
      <c r="E236" s="110">
        <f t="shared" ref="E236:M236" si="54">E234-E219-E224</f>
        <v>200000</v>
      </c>
      <c r="F236" s="110">
        <f t="shared" si="54"/>
        <v>400000</v>
      </c>
      <c r="G236" s="110">
        <f t="shared" si="54"/>
        <v>400000</v>
      </c>
      <c r="H236" s="110">
        <f t="shared" si="54"/>
        <v>0</v>
      </c>
      <c r="I236" s="110">
        <f t="shared" si="54"/>
        <v>0</v>
      </c>
      <c r="J236" s="110">
        <f t="shared" si="54"/>
        <v>0</v>
      </c>
      <c r="K236" s="110">
        <f t="shared" si="54"/>
        <v>0</v>
      </c>
      <c r="L236" s="110">
        <f t="shared" si="54"/>
        <v>0</v>
      </c>
      <c r="M236" s="110">
        <f t="shared" si="54"/>
        <v>0</v>
      </c>
    </row>
    <row r="237" spans="1:21" customFormat="1">
      <c r="C237" s="118" t="s">
        <v>725</v>
      </c>
      <c r="D237" s="110">
        <f>D236</f>
        <v>-400000</v>
      </c>
      <c r="E237" s="110">
        <f t="shared" ref="E237:M237" si="55">D237+E236</f>
        <v>-200000</v>
      </c>
      <c r="F237" s="110">
        <f t="shared" si="55"/>
        <v>200000</v>
      </c>
      <c r="G237" s="110">
        <f t="shared" si="55"/>
        <v>600000</v>
      </c>
      <c r="H237" s="110">
        <f t="shared" si="55"/>
        <v>600000</v>
      </c>
      <c r="I237" s="110">
        <f t="shared" si="55"/>
        <v>600000</v>
      </c>
      <c r="J237" s="110">
        <f t="shared" si="55"/>
        <v>600000</v>
      </c>
      <c r="K237" s="110">
        <f t="shared" si="55"/>
        <v>600000</v>
      </c>
      <c r="L237" s="110">
        <f t="shared" si="55"/>
        <v>600000</v>
      </c>
      <c r="M237" s="110">
        <f t="shared" si="55"/>
        <v>600000</v>
      </c>
    </row>
    <row r="238" spans="1:21" customFormat="1">
      <c r="C238" s="6"/>
      <c r="D238" s="6"/>
      <c r="E238" s="6"/>
      <c r="F238" s="6"/>
      <c r="G238" s="6"/>
      <c r="H238" s="6"/>
      <c r="I238" s="6"/>
      <c r="J238" s="6"/>
      <c r="K238" s="6"/>
      <c r="L238" s="6"/>
      <c r="M238" s="6"/>
    </row>
    <row r="239" spans="1:21" customFormat="1" ht="15.75" customHeight="1"/>
    <row r="240" spans="1:21" customFormat="1">
      <c r="A240" s="4" t="s">
        <v>768</v>
      </c>
      <c r="B240" s="104"/>
      <c r="C240" s="104"/>
      <c r="D240" s="104"/>
      <c r="E240" s="104"/>
      <c r="F240" s="104"/>
      <c r="G240" s="104"/>
      <c r="H240" s="104"/>
      <c r="I240" s="104"/>
      <c r="J240" s="104"/>
      <c r="K240" s="104"/>
      <c r="L240" s="104"/>
      <c r="M240" s="104"/>
      <c r="N240" s="104"/>
      <c r="O240" s="104"/>
      <c r="P240" s="104"/>
      <c r="Q240" s="104"/>
      <c r="R240" s="104"/>
      <c r="S240" s="2"/>
      <c r="T240" s="2"/>
      <c r="U240" s="2"/>
    </row>
    <row r="241" spans="1:16" customFormat="1" ht="15.75" customHeight="1"/>
    <row r="242" spans="1:16" customFormat="1">
      <c r="A242" s="2" t="s">
        <v>747</v>
      </c>
      <c r="C242" s="1"/>
      <c r="D242" s="105"/>
      <c r="O242" s="5"/>
      <c r="P242" s="5"/>
    </row>
    <row r="243" spans="1:16" customFormat="1">
      <c r="A243" s="2" t="s">
        <v>748</v>
      </c>
      <c r="C243" s="1"/>
      <c r="O243" s="5"/>
      <c r="P243" s="5"/>
    </row>
    <row r="244" spans="1:16" customFormat="1">
      <c r="A244" s="2" t="s">
        <v>749</v>
      </c>
      <c r="C244" s="1"/>
      <c r="O244" s="5"/>
      <c r="P244" s="5"/>
    </row>
    <row r="245" spans="1:16" customFormat="1">
      <c r="A245" s="2" t="s">
        <v>750</v>
      </c>
      <c r="C245" s="1"/>
      <c r="O245" s="5"/>
      <c r="P245" s="5"/>
    </row>
    <row r="246" spans="1:16" customFormat="1">
      <c r="A246" s="2" t="s">
        <v>751</v>
      </c>
      <c r="C246" s="1"/>
      <c r="O246" s="5"/>
      <c r="P246" s="5"/>
    </row>
    <row r="247" spans="1:16" customFormat="1">
      <c r="A247" s="2"/>
      <c r="C247" s="1"/>
      <c r="O247" s="5"/>
      <c r="P247" s="5"/>
    </row>
    <row r="248" spans="1:16" customFormat="1">
      <c r="A248" s="1" t="s">
        <v>752</v>
      </c>
      <c r="B248" s="2" t="s">
        <v>753</v>
      </c>
      <c r="C248" s="1"/>
      <c r="F248" s="124">
        <f>SUM(D284:I284)</f>
        <v>1151724.1379310344</v>
      </c>
      <c r="H248" s="2" t="s">
        <v>754</v>
      </c>
      <c r="I248" s="125">
        <f t="array" ref="I248">NPV(D287,E283:I283)+D283</f>
        <v>737303.66836104635</v>
      </c>
      <c r="O248" s="5"/>
      <c r="P248" s="5"/>
    </row>
    <row r="249" spans="1:16" customFormat="1">
      <c r="A249" s="1"/>
      <c r="B249" s="2"/>
      <c r="C249" s="1"/>
      <c r="F249" s="62"/>
      <c r="H249" s="2"/>
      <c r="I249" s="127"/>
      <c r="O249" s="5"/>
      <c r="P249" s="5"/>
    </row>
    <row r="250" spans="1:16" customFormat="1">
      <c r="A250" s="2" t="s">
        <v>755</v>
      </c>
      <c r="B250" s="10"/>
      <c r="C250" s="2"/>
      <c r="D250" s="10"/>
      <c r="E250" s="10"/>
      <c r="O250" s="5"/>
      <c r="P250" s="5"/>
    </row>
    <row r="251" spans="1:16" customFormat="1">
      <c r="A251" s="2" t="s">
        <v>756</v>
      </c>
      <c r="B251" s="10"/>
      <c r="C251" s="2"/>
      <c r="D251" s="10"/>
      <c r="E251" s="10"/>
      <c r="O251" s="5"/>
      <c r="P251" s="5"/>
    </row>
    <row r="252" spans="1:16" customFormat="1">
      <c r="A252" s="1"/>
      <c r="C252" s="1"/>
      <c r="O252" s="5"/>
      <c r="P252" s="5"/>
    </row>
    <row r="253" spans="1:16" customFormat="1">
      <c r="A253" s="16" t="s">
        <v>571</v>
      </c>
      <c r="C253" s="1"/>
      <c r="O253" s="262" t="s">
        <v>700</v>
      </c>
      <c r="P253" s="263"/>
    </row>
    <row r="254" spans="1:16" customFormat="1">
      <c r="A254" s="97" t="s">
        <v>701</v>
      </c>
      <c r="C254" s="113" t="s">
        <v>191</v>
      </c>
      <c r="D254" s="113" t="s">
        <v>255</v>
      </c>
      <c r="E254" s="113" t="s">
        <v>256</v>
      </c>
      <c r="F254" s="113" t="s">
        <v>257</v>
      </c>
      <c r="G254" s="113" t="s">
        <v>702</v>
      </c>
      <c r="H254" s="113" t="s">
        <v>703</v>
      </c>
      <c r="I254" s="113" t="s">
        <v>704</v>
      </c>
      <c r="J254" s="113" t="s">
        <v>705</v>
      </c>
      <c r="K254" s="113" t="s">
        <v>706</v>
      </c>
      <c r="L254" s="113" t="s">
        <v>707</v>
      </c>
      <c r="M254" s="113" t="s">
        <v>708</v>
      </c>
    </row>
    <row r="255" spans="1:16" customFormat="1">
      <c r="A255" s="2" t="s">
        <v>709</v>
      </c>
      <c r="C255" s="110">
        <f t="shared" ref="C255:C256" si="56">SUM(D255:M255)</f>
        <v>0</v>
      </c>
      <c r="D255" s="111"/>
      <c r="E255" s="111"/>
      <c r="F255" s="111"/>
      <c r="G255" s="111"/>
      <c r="H255" s="111"/>
      <c r="I255" s="111"/>
      <c r="J255" s="111"/>
      <c r="K255" s="111"/>
      <c r="L255" s="111"/>
      <c r="M255" s="111"/>
      <c r="O255" s="264" t="s">
        <v>730</v>
      </c>
      <c r="P255" s="248"/>
    </row>
    <row r="256" spans="1:16" customFormat="1">
      <c r="A256" s="2" t="s">
        <v>710</v>
      </c>
      <c r="C256" s="110">
        <f t="shared" si="56"/>
        <v>0</v>
      </c>
      <c r="D256" s="111"/>
      <c r="E256" s="111"/>
      <c r="F256" s="111"/>
      <c r="G256" s="111"/>
      <c r="H256" s="111"/>
      <c r="I256" s="111"/>
      <c r="J256" s="111"/>
      <c r="K256" s="111"/>
      <c r="L256" s="111"/>
      <c r="M256" s="111"/>
      <c r="O256" s="264" t="s">
        <v>730</v>
      </c>
      <c r="P256" s="248"/>
    </row>
    <row r="257" spans="1:16" customFormat="1">
      <c r="A257" s="97" t="s">
        <v>711</v>
      </c>
      <c r="C257" s="110">
        <f t="shared" ref="C257:M257" si="57">SUM(C255:C256)</f>
        <v>0</v>
      </c>
      <c r="D257" s="110">
        <f t="shared" si="57"/>
        <v>0</v>
      </c>
      <c r="E257" s="110">
        <f t="shared" si="57"/>
        <v>0</v>
      </c>
      <c r="F257" s="110">
        <f t="shared" si="57"/>
        <v>0</v>
      </c>
      <c r="G257" s="110">
        <f t="shared" si="57"/>
        <v>0</v>
      </c>
      <c r="H257" s="110">
        <f t="shared" si="57"/>
        <v>0</v>
      </c>
      <c r="I257" s="110">
        <f t="shared" si="57"/>
        <v>0</v>
      </c>
      <c r="J257" s="110">
        <f t="shared" si="57"/>
        <v>0</v>
      </c>
      <c r="K257" s="110">
        <f t="shared" si="57"/>
        <v>0</v>
      </c>
      <c r="L257" s="110">
        <f t="shared" si="57"/>
        <v>0</v>
      </c>
      <c r="M257" s="110">
        <f t="shared" si="57"/>
        <v>0</v>
      </c>
      <c r="O257" s="265"/>
      <c r="P257" s="247"/>
    </row>
    <row r="258" spans="1:16" customFormat="1">
      <c r="C258" s="23"/>
      <c r="D258" s="6"/>
      <c r="E258" s="6"/>
      <c r="F258" s="6"/>
      <c r="G258" s="6"/>
      <c r="H258" s="6"/>
      <c r="I258" s="6"/>
      <c r="J258" s="6"/>
      <c r="K258" s="6"/>
      <c r="L258" s="6"/>
      <c r="M258" s="6"/>
      <c r="O258" s="265"/>
      <c r="P258" s="247"/>
    </row>
    <row r="259" spans="1:16" customFormat="1">
      <c r="A259" s="1" t="s">
        <v>712</v>
      </c>
      <c r="C259" s="113" t="s">
        <v>191</v>
      </c>
      <c r="D259" s="113" t="s">
        <v>255</v>
      </c>
      <c r="E259" s="113" t="s">
        <v>256</v>
      </c>
      <c r="F259" s="113" t="s">
        <v>257</v>
      </c>
      <c r="G259" s="113" t="s">
        <v>702</v>
      </c>
      <c r="H259" s="113" t="s">
        <v>703</v>
      </c>
      <c r="I259" s="113" t="s">
        <v>704</v>
      </c>
      <c r="J259" s="113" t="s">
        <v>705</v>
      </c>
      <c r="K259" s="113" t="s">
        <v>706</v>
      </c>
      <c r="L259" s="113" t="s">
        <v>707</v>
      </c>
      <c r="M259" s="113" t="s">
        <v>708</v>
      </c>
      <c r="O259" s="265"/>
      <c r="P259" s="247"/>
    </row>
    <row r="260" spans="1:16" customFormat="1">
      <c r="A260" s="2" t="s">
        <v>731</v>
      </c>
      <c r="C260" s="110">
        <f t="shared" ref="C260:C263" si="58">SUM(D260:M260)</f>
        <v>50000</v>
      </c>
      <c r="D260" s="111">
        <v>50000</v>
      </c>
      <c r="E260" s="111"/>
      <c r="F260" s="111"/>
      <c r="G260" s="111"/>
      <c r="H260" s="111"/>
      <c r="I260" s="111"/>
      <c r="J260" s="111"/>
      <c r="K260" s="111"/>
      <c r="L260" s="111"/>
      <c r="M260" s="111"/>
      <c r="O260" s="264" t="s">
        <v>732</v>
      </c>
      <c r="P260" s="248"/>
    </row>
    <row r="261" spans="1:16" customFormat="1">
      <c r="A261" s="2" t="s">
        <v>733</v>
      </c>
      <c r="C261" s="110">
        <f t="shared" si="58"/>
        <v>300000</v>
      </c>
      <c r="D261" s="111">
        <v>300000</v>
      </c>
      <c r="E261" s="111"/>
      <c r="F261" s="111"/>
      <c r="G261" s="111"/>
      <c r="H261" s="111"/>
      <c r="I261" s="111"/>
      <c r="J261" s="111"/>
      <c r="K261" s="111"/>
      <c r="L261" s="111"/>
      <c r="M261" s="111"/>
      <c r="O261" s="264" t="s">
        <v>732</v>
      </c>
      <c r="P261" s="248"/>
    </row>
    <row r="262" spans="1:16" customFormat="1">
      <c r="A262" s="2" t="s">
        <v>734</v>
      </c>
      <c r="C262" s="110">
        <f t="shared" si="58"/>
        <v>100000</v>
      </c>
      <c r="D262" s="111">
        <v>50000</v>
      </c>
      <c r="E262" s="111">
        <v>50000</v>
      </c>
      <c r="F262" s="111"/>
      <c r="G262" s="111"/>
      <c r="H262" s="111"/>
      <c r="I262" s="111"/>
      <c r="J262" s="111"/>
      <c r="K262" s="111"/>
      <c r="L262" s="111"/>
      <c r="M262" s="111"/>
      <c r="O262" s="264" t="s">
        <v>735</v>
      </c>
      <c r="P262" s="248"/>
    </row>
    <row r="263" spans="1:16" customFormat="1">
      <c r="A263" s="2" t="s">
        <v>736</v>
      </c>
      <c r="C263" s="110">
        <f t="shared" si="58"/>
        <v>50000</v>
      </c>
      <c r="D263" s="111"/>
      <c r="E263" s="111">
        <v>50000</v>
      </c>
      <c r="F263" s="111"/>
      <c r="G263" s="111"/>
      <c r="H263" s="111"/>
      <c r="I263" s="111"/>
      <c r="J263" s="111"/>
      <c r="K263" s="111"/>
      <c r="L263" s="111"/>
      <c r="M263" s="111"/>
      <c r="O263" s="264" t="s">
        <v>732</v>
      </c>
      <c r="P263" s="248"/>
    </row>
    <row r="264" spans="1:16" customFormat="1">
      <c r="A264" s="97" t="s">
        <v>713</v>
      </c>
      <c r="C264" s="110">
        <f t="shared" ref="C264:M264" si="59">SUM(C260:C263)</f>
        <v>500000</v>
      </c>
      <c r="D264" s="110">
        <f t="shared" si="59"/>
        <v>400000</v>
      </c>
      <c r="E264" s="110">
        <f t="shared" si="59"/>
        <v>100000</v>
      </c>
      <c r="F264" s="110">
        <f t="shared" si="59"/>
        <v>0</v>
      </c>
      <c r="G264" s="110">
        <f t="shared" si="59"/>
        <v>0</v>
      </c>
      <c r="H264" s="110">
        <f t="shared" si="59"/>
        <v>0</v>
      </c>
      <c r="I264" s="110">
        <f t="shared" si="59"/>
        <v>0</v>
      </c>
      <c r="J264" s="110">
        <f t="shared" si="59"/>
        <v>0</v>
      </c>
      <c r="K264" s="110">
        <f t="shared" si="59"/>
        <v>0</v>
      </c>
      <c r="L264" s="110">
        <f t="shared" si="59"/>
        <v>0</v>
      </c>
      <c r="M264" s="110">
        <f t="shared" si="59"/>
        <v>0</v>
      </c>
      <c r="O264" s="265"/>
      <c r="P264" s="247"/>
    </row>
    <row r="265" spans="1:16" customFormat="1">
      <c r="C265" s="23"/>
      <c r="D265" s="6"/>
      <c r="E265" s="6"/>
      <c r="F265" s="6"/>
      <c r="G265" s="6"/>
      <c r="H265" s="6"/>
      <c r="I265" s="6"/>
      <c r="J265" s="6"/>
      <c r="K265" s="6"/>
      <c r="L265" s="6"/>
      <c r="M265" s="6"/>
      <c r="O265" s="265"/>
      <c r="P265" s="247"/>
    </row>
    <row r="266" spans="1:16" customFormat="1">
      <c r="A266" s="16" t="s">
        <v>714</v>
      </c>
      <c r="C266" s="110">
        <f t="shared" ref="C266:M266" si="60">C264+C257</f>
        <v>500000</v>
      </c>
      <c r="D266" s="110">
        <f t="shared" si="60"/>
        <v>400000</v>
      </c>
      <c r="E266" s="110">
        <f t="shared" si="60"/>
        <v>100000</v>
      </c>
      <c r="F266" s="110">
        <f t="shared" si="60"/>
        <v>0</v>
      </c>
      <c r="G266" s="110">
        <f t="shared" si="60"/>
        <v>0</v>
      </c>
      <c r="H266" s="110">
        <f t="shared" si="60"/>
        <v>0</v>
      </c>
      <c r="I266" s="110">
        <f t="shared" si="60"/>
        <v>0</v>
      </c>
      <c r="J266" s="110">
        <f t="shared" si="60"/>
        <v>0</v>
      </c>
      <c r="K266" s="110">
        <f t="shared" si="60"/>
        <v>0</v>
      </c>
      <c r="L266" s="110">
        <f t="shared" si="60"/>
        <v>0</v>
      </c>
      <c r="M266" s="110">
        <f t="shared" si="60"/>
        <v>0</v>
      </c>
      <c r="O266" s="265"/>
      <c r="P266" s="247"/>
    </row>
    <row r="267" spans="1:16" customFormat="1">
      <c r="C267" s="23"/>
      <c r="D267" s="6"/>
      <c r="E267" s="6"/>
      <c r="F267" s="6"/>
      <c r="G267" s="6"/>
      <c r="H267" s="6"/>
      <c r="I267" s="6"/>
      <c r="J267" s="6"/>
      <c r="K267" s="6"/>
      <c r="L267" s="6"/>
      <c r="M267" s="6"/>
      <c r="O267" s="265"/>
      <c r="P267" s="247"/>
    </row>
    <row r="268" spans="1:16" customFormat="1">
      <c r="A268" s="1" t="s">
        <v>715</v>
      </c>
      <c r="C268" s="113" t="s">
        <v>191</v>
      </c>
      <c r="D268" s="113" t="s">
        <v>255</v>
      </c>
      <c r="E268" s="113" t="s">
        <v>256</v>
      </c>
      <c r="F268" s="113" t="s">
        <v>257</v>
      </c>
      <c r="G268" s="113" t="s">
        <v>702</v>
      </c>
      <c r="H268" s="113" t="s">
        <v>703</v>
      </c>
      <c r="I268" s="113" t="s">
        <v>704</v>
      </c>
      <c r="J268" s="113" t="s">
        <v>705</v>
      </c>
      <c r="K268" s="113" t="s">
        <v>706</v>
      </c>
      <c r="L268" s="113" t="s">
        <v>707</v>
      </c>
      <c r="M268" s="113" t="s">
        <v>708</v>
      </c>
      <c r="O268" s="265"/>
      <c r="P268" s="247"/>
    </row>
    <row r="269" spans="1:16" customFormat="1">
      <c r="A269" s="2" t="s">
        <v>709</v>
      </c>
      <c r="C269" s="110">
        <f t="shared" ref="C269:C270" si="61">SUM(D269:M269)</f>
        <v>0</v>
      </c>
      <c r="D269" s="111"/>
      <c r="E269" s="111"/>
      <c r="F269" s="111"/>
      <c r="G269" s="111"/>
      <c r="H269" s="111"/>
      <c r="I269" s="111"/>
      <c r="J269" s="111"/>
      <c r="K269" s="111"/>
      <c r="L269" s="111"/>
      <c r="M269" s="111"/>
      <c r="O269" s="264" t="s">
        <v>730</v>
      </c>
      <c r="P269" s="248"/>
    </row>
    <row r="270" spans="1:16" customFormat="1">
      <c r="A270" s="2" t="s">
        <v>710</v>
      </c>
      <c r="C270" s="110">
        <f t="shared" si="61"/>
        <v>0</v>
      </c>
      <c r="D270" s="111"/>
      <c r="E270" s="111"/>
      <c r="F270" s="111"/>
      <c r="G270" s="111"/>
      <c r="H270" s="111"/>
      <c r="I270" s="111"/>
      <c r="J270" s="111"/>
      <c r="K270" s="111"/>
      <c r="L270" s="111"/>
      <c r="M270" s="111"/>
      <c r="O270" s="264" t="s">
        <v>730</v>
      </c>
      <c r="P270" s="248"/>
    </row>
    <row r="271" spans="1:16" customFormat="1">
      <c r="A271" s="97" t="s">
        <v>716</v>
      </c>
      <c r="C271" s="110">
        <f>SUM(C269:C270)</f>
        <v>0</v>
      </c>
      <c r="D271" s="110">
        <f t="shared" ref="D271:M271" si="62">SUM(D269:D270)</f>
        <v>0</v>
      </c>
      <c r="E271" s="110">
        <f t="shared" si="62"/>
        <v>0</v>
      </c>
      <c r="F271" s="110">
        <f t="shared" si="62"/>
        <v>0</v>
      </c>
      <c r="G271" s="110">
        <f t="shared" si="62"/>
        <v>0</v>
      </c>
      <c r="H271" s="110">
        <f t="shared" si="62"/>
        <v>0</v>
      </c>
      <c r="I271" s="110">
        <f t="shared" si="62"/>
        <v>0</v>
      </c>
      <c r="J271" s="110">
        <f t="shared" si="62"/>
        <v>0</v>
      </c>
      <c r="K271" s="110">
        <f t="shared" si="62"/>
        <v>0</v>
      </c>
      <c r="L271" s="110">
        <f t="shared" si="62"/>
        <v>0</v>
      </c>
      <c r="M271" s="110">
        <f t="shared" si="62"/>
        <v>0</v>
      </c>
      <c r="O271" s="265"/>
      <c r="P271" s="247"/>
    </row>
    <row r="272" spans="1:16" customFormat="1">
      <c r="C272" s="23"/>
      <c r="D272" s="6"/>
      <c r="E272" s="6"/>
      <c r="F272" s="6"/>
      <c r="G272" s="6"/>
      <c r="H272" s="6"/>
      <c r="I272" s="6"/>
      <c r="J272" s="6"/>
      <c r="K272" s="6"/>
      <c r="L272" s="6"/>
      <c r="M272" s="6"/>
      <c r="O272" s="265"/>
      <c r="P272" s="247"/>
    </row>
    <row r="273" spans="1:17" customFormat="1">
      <c r="A273" s="16" t="s">
        <v>717</v>
      </c>
      <c r="C273" s="113" t="s">
        <v>191</v>
      </c>
      <c r="D273" s="113" t="s">
        <v>255</v>
      </c>
      <c r="E273" s="113" t="s">
        <v>256</v>
      </c>
      <c r="F273" s="113" t="s">
        <v>257</v>
      </c>
      <c r="G273" s="113" t="s">
        <v>702</v>
      </c>
      <c r="H273" s="113" t="s">
        <v>703</v>
      </c>
      <c r="I273" s="113" t="s">
        <v>704</v>
      </c>
      <c r="J273" s="113" t="s">
        <v>705</v>
      </c>
      <c r="K273" s="113" t="s">
        <v>706</v>
      </c>
      <c r="L273" s="113" t="s">
        <v>707</v>
      </c>
      <c r="M273" s="113" t="s">
        <v>708</v>
      </c>
      <c r="O273" s="265"/>
      <c r="P273" s="247"/>
    </row>
    <row r="274" spans="1:17" customFormat="1">
      <c r="A274" s="2" t="s">
        <v>515</v>
      </c>
      <c r="C274" s="110">
        <f t="shared" ref="C274:C279" si="63">SUM(D274:M274)</f>
        <v>0</v>
      </c>
      <c r="D274" s="111"/>
      <c r="E274" s="111"/>
      <c r="F274" s="111"/>
      <c r="G274" s="111"/>
      <c r="H274" s="111"/>
      <c r="I274" s="111"/>
      <c r="J274" s="111"/>
      <c r="K274" s="111"/>
      <c r="L274" s="111"/>
      <c r="M274" s="111"/>
      <c r="O274" s="264">
        <v>1000000</v>
      </c>
      <c r="P274" s="248"/>
      <c r="Q274" s="2" t="s">
        <v>737</v>
      </c>
    </row>
    <row r="275" spans="1:17" customFormat="1">
      <c r="A275" s="3" t="s">
        <v>718</v>
      </c>
      <c r="C275" s="110">
        <f t="shared" si="63"/>
        <v>1425000</v>
      </c>
      <c r="D275" s="111"/>
      <c r="E275" s="111">
        <v>225000</v>
      </c>
      <c r="F275" s="111">
        <v>300000</v>
      </c>
      <c r="G275" s="111">
        <v>300000</v>
      </c>
      <c r="H275" s="111">
        <v>300000</v>
      </c>
      <c r="I275" s="111">
        <v>300000</v>
      </c>
      <c r="J275" s="111"/>
      <c r="K275" s="111"/>
      <c r="L275" s="111"/>
      <c r="M275" s="111"/>
      <c r="O275" s="264">
        <v>1000</v>
      </c>
      <c r="P275" s="248"/>
      <c r="Q275" s="2" t="s">
        <v>738</v>
      </c>
    </row>
    <row r="276" spans="1:17" customFormat="1">
      <c r="A276" s="2" t="s">
        <v>719</v>
      </c>
      <c r="C276" s="110">
        <f t="shared" si="63"/>
        <v>0</v>
      </c>
      <c r="D276" s="111"/>
      <c r="E276" s="111"/>
      <c r="F276" s="111"/>
      <c r="G276" s="111"/>
      <c r="H276" s="111"/>
      <c r="I276" s="111"/>
      <c r="J276" s="111"/>
      <c r="K276" s="111"/>
      <c r="L276" s="111"/>
      <c r="M276" s="111"/>
      <c r="O276" s="266">
        <v>0.3</v>
      </c>
      <c r="P276" s="248"/>
      <c r="Q276" s="2" t="s">
        <v>739</v>
      </c>
    </row>
    <row r="277" spans="1:17" customFormat="1">
      <c r="A277" s="2" t="s">
        <v>720</v>
      </c>
      <c r="C277" s="110">
        <f t="shared" si="63"/>
        <v>0</v>
      </c>
      <c r="D277" s="111"/>
      <c r="E277" s="111"/>
      <c r="F277" s="111"/>
      <c r="G277" s="111"/>
      <c r="H277" s="111"/>
      <c r="I277" s="111"/>
      <c r="J277" s="111"/>
      <c r="K277" s="111"/>
      <c r="L277" s="111"/>
      <c r="M277" s="111"/>
      <c r="O277" s="264"/>
      <c r="P277" s="248"/>
    </row>
    <row r="278" spans="1:17" customFormat="1">
      <c r="A278" s="2" t="s">
        <v>721</v>
      </c>
      <c r="C278" s="110">
        <f t="shared" si="63"/>
        <v>475000</v>
      </c>
      <c r="D278" s="111"/>
      <c r="E278" s="111">
        <v>75000</v>
      </c>
      <c r="F278" s="111">
        <v>100000</v>
      </c>
      <c r="G278" s="111">
        <v>100000</v>
      </c>
      <c r="H278" s="111">
        <v>100000</v>
      </c>
      <c r="I278" s="111">
        <v>100000</v>
      </c>
      <c r="J278" s="111"/>
      <c r="K278" s="111"/>
      <c r="L278" s="111"/>
      <c r="M278" s="111"/>
      <c r="O278" s="264" t="s">
        <v>740</v>
      </c>
      <c r="P278" s="248"/>
    </row>
    <row r="279" spans="1:17" customFormat="1">
      <c r="A279" s="2" t="s">
        <v>722</v>
      </c>
      <c r="C279" s="110">
        <f t="shared" si="63"/>
        <v>0</v>
      </c>
      <c r="D279" s="111"/>
      <c r="E279" s="111"/>
      <c r="F279" s="111"/>
      <c r="G279" s="111"/>
      <c r="H279" s="111"/>
      <c r="I279" s="111"/>
      <c r="J279" s="111"/>
      <c r="K279" s="111"/>
      <c r="L279" s="111"/>
      <c r="M279" s="111"/>
      <c r="O279" s="264"/>
      <c r="P279" s="248"/>
    </row>
    <row r="280" spans="1:17" customFormat="1">
      <c r="A280" s="1"/>
      <c r="C280" s="6"/>
      <c r="D280" s="6"/>
      <c r="E280" s="6"/>
      <c r="F280" s="6"/>
      <c r="G280" s="6"/>
      <c r="H280" s="6"/>
      <c r="I280" s="6"/>
      <c r="J280" s="6"/>
      <c r="K280" s="6"/>
      <c r="L280" s="6"/>
      <c r="M280" s="6"/>
    </row>
    <row r="281" spans="1:17" customFormat="1">
      <c r="A281" s="16" t="s">
        <v>723</v>
      </c>
      <c r="C281" s="110">
        <f t="shared" ref="C281:M281" si="64">SUM(C274:C279)</f>
        <v>1900000</v>
      </c>
      <c r="D281" s="120">
        <f t="shared" si="64"/>
        <v>0</v>
      </c>
      <c r="E281" s="120">
        <f t="shared" si="64"/>
        <v>300000</v>
      </c>
      <c r="F281" s="120">
        <f t="shared" si="64"/>
        <v>400000</v>
      </c>
      <c r="G281" s="120">
        <f t="shared" si="64"/>
        <v>400000</v>
      </c>
      <c r="H281" s="120">
        <f t="shared" si="64"/>
        <v>400000</v>
      </c>
      <c r="I281" s="120">
        <f t="shared" si="64"/>
        <v>400000</v>
      </c>
      <c r="J281" s="120">
        <f t="shared" si="64"/>
        <v>0</v>
      </c>
      <c r="K281" s="120">
        <f t="shared" si="64"/>
        <v>0</v>
      </c>
      <c r="L281" s="120">
        <f t="shared" si="64"/>
        <v>0</v>
      </c>
      <c r="M281" s="120">
        <f t="shared" si="64"/>
        <v>0</v>
      </c>
    </row>
    <row r="282" spans="1:17" customFormat="1" ht="15.75" customHeight="1"/>
    <row r="283" spans="1:17" customFormat="1">
      <c r="C283" s="118" t="s">
        <v>724</v>
      </c>
      <c r="D283" s="110">
        <f>D281-D266-D271-D257</f>
        <v>-400000</v>
      </c>
      <c r="E283" s="110">
        <f t="shared" ref="E283:M283" si="65">E281-E266-E271</f>
        <v>200000</v>
      </c>
      <c r="F283" s="110">
        <f t="shared" si="65"/>
        <v>400000</v>
      </c>
      <c r="G283" s="110">
        <f t="shared" si="65"/>
        <v>400000</v>
      </c>
      <c r="H283" s="110">
        <f t="shared" si="65"/>
        <v>400000</v>
      </c>
      <c r="I283" s="110">
        <f t="shared" si="65"/>
        <v>400000</v>
      </c>
      <c r="J283" s="110">
        <f t="shared" si="65"/>
        <v>0</v>
      </c>
      <c r="K283" s="110">
        <f t="shared" si="65"/>
        <v>0</v>
      </c>
      <c r="L283" s="110">
        <f t="shared" si="65"/>
        <v>0</v>
      </c>
      <c r="M283" s="110">
        <f t="shared" si="65"/>
        <v>0</v>
      </c>
    </row>
    <row r="284" spans="1:17" customFormat="1">
      <c r="C284" s="118" t="s">
        <v>757</v>
      </c>
      <c r="D284" s="145">
        <f>D283</f>
        <v>-400000</v>
      </c>
      <c r="E284" s="145">
        <f>E283/(1+$D$287)^1</f>
        <v>172413.79310344829</v>
      </c>
      <c r="F284" s="145">
        <f t="shared" ref="F284:M284" si="66">F283/(1+$D$287)^1</f>
        <v>344827.58620689658</v>
      </c>
      <c r="G284" s="145">
        <f t="shared" si="66"/>
        <v>344827.58620689658</v>
      </c>
      <c r="H284" s="145">
        <f t="shared" si="66"/>
        <v>344827.58620689658</v>
      </c>
      <c r="I284" s="145">
        <f t="shared" si="66"/>
        <v>344827.58620689658</v>
      </c>
      <c r="J284" s="145">
        <f t="shared" si="66"/>
        <v>0</v>
      </c>
      <c r="K284" s="145">
        <f t="shared" si="66"/>
        <v>0</v>
      </c>
      <c r="L284" s="145">
        <f t="shared" si="66"/>
        <v>0</v>
      </c>
      <c r="M284" s="145">
        <f t="shared" si="66"/>
        <v>0</v>
      </c>
    </row>
    <row r="285" spans="1:17" customFormat="1">
      <c r="C285" s="147" t="s">
        <v>787</v>
      </c>
      <c r="D285" s="148">
        <v>0.1</v>
      </c>
      <c r="E285" s="110"/>
      <c r="F285" s="110"/>
      <c r="G285" s="110"/>
      <c r="H285" s="110"/>
      <c r="I285" s="110"/>
      <c r="J285" s="110"/>
      <c r="K285" s="110"/>
      <c r="L285" s="110"/>
      <c r="M285" s="110"/>
    </row>
    <row r="286" spans="1:17" customFormat="1">
      <c r="C286" s="147" t="s">
        <v>788</v>
      </c>
      <c r="D286" s="148">
        <v>0.06</v>
      </c>
      <c r="E286" s="110"/>
      <c r="F286" s="110"/>
      <c r="G286" s="110"/>
      <c r="H286" s="110"/>
      <c r="I286" s="110"/>
      <c r="J286" s="110"/>
      <c r="K286" s="110"/>
      <c r="L286" s="110"/>
      <c r="M286" s="110"/>
    </row>
    <row r="287" spans="1:17" customFormat="1">
      <c r="C287" s="118" t="s">
        <v>265</v>
      </c>
      <c r="D287" s="129">
        <f>D285+D286</f>
        <v>0.16</v>
      </c>
      <c r="E287" s="126"/>
      <c r="F287" s="126"/>
      <c r="G287" s="126"/>
      <c r="H287" s="126"/>
      <c r="I287" s="126"/>
      <c r="J287" s="126"/>
      <c r="K287" s="126"/>
      <c r="L287" s="126"/>
      <c r="M287" s="126"/>
    </row>
    <row r="288" spans="1:17" customFormat="1" ht="15.75" customHeight="1"/>
    <row r="289" spans="1:21" customFormat="1" ht="15.75" customHeight="1">
      <c r="A289" s="137" t="s">
        <v>783</v>
      </c>
      <c r="B289" s="133"/>
      <c r="C289" s="133"/>
      <c r="D289" s="133"/>
      <c r="E289" s="133"/>
      <c r="F289" s="133"/>
      <c r="G289" s="133"/>
      <c r="H289" s="133"/>
      <c r="I289" s="133"/>
      <c r="J289" s="133"/>
      <c r="K289" s="133"/>
      <c r="L289" s="133"/>
      <c r="M289" s="133"/>
      <c r="N289" s="133"/>
    </row>
    <row r="290" spans="1:21" customFormat="1" ht="15.75" customHeight="1">
      <c r="A290" s="133" t="s">
        <v>784</v>
      </c>
      <c r="B290" s="133"/>
      <c r="C290" s="133"/>
      <c r="D290" s="133"/>
      <c r="E290" s="133"/>
      <c r="F290" s="133"/>
      <c r="G290" s="133"/>
      <c r="H290" s="133"/>
      <c r="I290" s="133"/>
      <c r="J290" s="133"/>
      <c r="K290" s="133"/>
      <c r="L290" s="133"/>
      <c r="M290" s="133"/>
      <c r="N290" s="133"/>
    </row>
    <row r="291" spans="1:21" customFormat="1" ht="15.75" customHeight="1">
      <c r="A291" s="273" t="s">
        <v>789</v>
      </c>
      <c r="B291" s="274"/>
      <c r="C291" s="274"/>
      <c r="D291" s="274"/>
      <c r="E291" s="274"/>
      <c r="F291" s="274"/>
      <c r="G291" s="274"/>
      <c r="H291" s="274"/>
      <c r="I291" s="274"/>
      <c r="J291" s="274"/>
      <c r="K291" s="133"/>
      <c r="L291" s="133"/>
      <c r="M291" s="133"/>
      <c r="N291" s="133"/>
    </row>
    <row r="292" spans="1:21" customFormat="1" ht="15.75" customHeight="1">
      <c r="A292" s="137" t="s">
        <v>785</v>
      </c>
      <c r="B292" s="133"/>
      <c r="C292" s="133"/>
      <c r="D292" s="133"/>
      <c r="E292" s="133"/>
      <c r="F292" s="133"/>
      <c r="G292" s="133"/>
      <c r="H292" s="133"/>
      <c r="I292" s="133"/>
      <c r="J292" s="133"/>
      <c r="K292" s="133"/>
      <c r="L292" s="133"/>
      <c r="M292" s="133"/>
      <c r="N292" s="133"/>
    </row>
    <row r="293" spans="1:21" customFormat="1" ht="15.75" customHeight="1">
      <c r="A293" s="137" t="s">
        <v>786</v>
      </c>
      <c r="B293" s="133"/>
      <c r="C293" s="133"/>
      <c r="D293" s="133"/>
      <c r="E293" s="133"/>
      <c r="F293" s="133"/>
      <c r="G293" s="133"/>
      <c r="H293" s="133"/>
      <c r="I293" s="133"/>
      <c r="J293" s="133"/>
      <c r="K293" s="133"/>
      <c r="L293" s="133"/>
      <c r="M293" s="133"/>
      <c r="N293" s="133"/>
    </row>
    <row r="294" spans="1:21" customFormat="1" ht="15.75" customHeight="1">
      <c r="A294" s="132" t="s">
        <v>790</v>
      </c>
      <c r="B294" s="43"/>
      <c r="C294" s="43"/>
      <c r="D294" s="43"/>
      <c r="E294" s="43"/>
      <c r="F294" s="43"/>
      <c r="G294" s="43"/>
      <c r="H294" s="43"/>
      <c r="I294" s="43"/>
      <c r="J294" s="43"/>
      <c r="K294" s="43"/>
      <c r="L294" s="43"/>
      <c r="M294" s="43"/>
      <c r="N294" s="43"/>
    </row>
    <row r="295" spans="1:21" customFormat="1" ht="15.75" customHeight="1">
      <c r="A295" s="132"/>
      <c r="B295" s="43"/>
      <c r="C295" s="43"/>
      <c r="D295" s="43"/>
      <c r="E295" s="43"/>
      <c r="F295" s="43"/>
      <c r="G295" s="43"/>
      <c r="H295" s="43"/>
      <c r="I295" s="43"/>
      <c r="J295" s="43"/>
      <c r="K295" s="43"/>
      <c r="L295" s="43"/>
      <c r="M295" s="43"/>
      <c r="N295" s="43"/>
    </row>
    <row r="296" spans="1:21" customFormat="1" ht="15.75" customHeight="1">
      <c r="A296" s="132"/>
      <c r="B296" s="43"/>
      <c r="C296" s="131" t="s">
        <v>857</v>
      </c>
      <c r="D296" s="131"/>
      <c r="E296" s="131"/>
      <c r="F296" s="131"/>
      <c r="G296" s="43"/>
      <c r="H296" s="43"/>
      <c r="I296" s="43"/>
      <c r="J296" s="43"/>
      <c r="K296" s="43"/>
      <c r="L296" s="43"/>
      <c r="M296" s="43"/>
      <c r="N296" s="43"/>
    </row>
    <row r="297" spans="1:21" customFormat="1" ht="15.75" customHeight="1">
      <c r="A297" s="132"/>
      <c r="B297" s="43"/>
      <c r="C297" s="146"/>
      <c r="D297" s="146"/>
      <c r="E297" s="146"/>
      <c r="F297" s="146"/>
      <c r="G297" s="43"/>
      <c r="H297" s="43"/>
      <c r="I297" s="43"/>
      <c r="J297" s="43"/>
      <c r="K297" s="43"/>
      <c r="L297" s="43"/>
      <c r="M297" s="43"/>
      <c r="N297" s="43"/>
    </row>
    <row r="298" spans="1:21" customFormat="1">
      <c r="S298" s="2"/>
      <c r="T298" s="2"/>
      <c r="U298" s="2"/>
    </row>
    <row r="299" spans="1:21" customFormat="1" ht="15.75" customHeight="1">
      <c r="A299" s="4" t="s">
        <v>769</v>
      </c>
      <c r="B299" s="104"/>
      <c r="C299" s="104"/>
      <c r="D299" s="104"/>
      <c r="E299" s="104"/>
      <c r="F299" s="104"/>
      <c r="G299" s="104"/>
      <c r="H299" s="104"/>
      <c r="I299" s="104"/>
      <c r="J299" s="104"/>
      <c r="K299" s="104"/>
      <c r="L299" s="104"/>
      <c r="M299" s="104"/>
      <c r="N299" s="104"/>
      <c r="O299" s="104"/>
      <c r="P299" s="104"/>
      <c r="Q299" s="104"/>
      <c r="R299" s="104"/>
    </row>
    <row r="300" spans="1:21" customFormat="1"/>
    <row r="301" spans="1:21" customFormat="1">
      <c r="A301" s="2" t="s">
        <v>758</v>
      </c>
      <c r="C301" s="1"/>
      <c r="D301" s="105"/>
      <c r="O301" s="5"/>
      <c r="P301" s="5"/>
    </row>
    <row r="302" spans="1:21" customFormat="1">
      <c r="A302" s="2" t="s">
        <v>759</v>
      </c>
      <c r="C302" s="1"/>
      <c r="O302" s="5"/>
      <c r="P302" s="5"/>
    </row>
    <row r="303" spans="1:21" customFormat="1">
      <c r="A303" s="2" t="s">
        <v>750</v>
      </c>
      <c r="C303" s="1"/>
      <c r="O303" s="5"/>
      <c r="P303" s="5"/>
    </row>
    <row r="304" spans="1:21" customFormat="1">
      <c r="A304" s="2" t="s">
        <v>760</v>
      </c>
      <c r="C304" s="1"/>
      <c r="O304" s="5"/>
      <c r="P304" s="5"/>
    </row>
    <row r="305" spans="1:16" customFormat="1">
      <c r="C305" s="1"/>
      <c r="O305" s="5"/>
      <c r="P305" s="5"/>
    </row>
    <row r="306" spans="1:16" customFormat="1">
      <c r="A306" s="1" t="s">
        <v>761</v>
      </c>
      <c r="B306" s="2" t="s">
        <v>762</v>
      </c>
      <c r="C306" s="1"/>
      <c r="E306" s="2" t="s">
        <v>763</v>
      </c>
      <c r="F306" s="130">
        <f>IRR(D338:I338,50%)</f>
        <v>0.72436943702714718</v>
      </c>
      <c r="H306" s="2" t="s">
        <v>764</v>
      </c>
      <c r="I306" s="125">
        <f t="array" ref="I306">NPV(D340,E338:I338)+D338</f>
        <v>0</v>
      </c>
      <c r="O306" s="5"/>
      <c r="P306" s="5"/>
    </row>
    <row r="307" spans="1:16" customFormat="1">
      <c r="A307" s="1"/>
      <c r="C307" s="1"/>
      <c r="O307" s="5"/>
      <c r="P307" s="5"/>
    </row>
    <row r="308" spans="1:16" customFormat="1">
      <c r="A308" s="16" t="s">
        <v>571</v>
      </c>
      <c r="C308" s="1"/>
      <c r="O308" s="262" t="s">
        <v>700</v>
      </c>
      <c r="P308" s="263"/>
    </row>
    <row r="309" spans="1:16" customFormat="1">
      <c r="A309" s="97" t="s">
        <v>701</v>
      </c>
      <c r="C309" s="113" t="s">
        <v>191</v>
      </c>
      <c r="D309" s="113" t="s">
        <v>255</v>
      </c>
      <c r="E309" s="113" t="s">
        <v>256</v>
      </c>
      <c r="F309" s="113" t="s">
        <v>257</v>
      </c>
      <c r="G309" s="113" t="s">
        <v>702</v>
      </c>
      <c r="H309" s="113" t="s">
        <v>703</v>
      </c>
      <c r="I309" s="113" t="s">
        <v>704</v>
      </c>
      <c r="J309" s="113" t="s">
        <v>705</v>
      </c>
      <c r="K309" s="113" t="s">
        <v>706</v>
      </c>
      <c r="L309" s="113" t="s">
        <v>707</v>
      </c>
      <c r="M309" s="113" t="s">
        <v>708</v>
      </c>
    </row>
    <row r="310" spans="1:16" customFormat="1">
      <c r="A310" s="2" t="s">
        <v>709</v>
      </c>
      <c r="C310" s="110">
        <f>SUM(D309:M309)</f>
        <v>0</v>
      </c>
      <c r="D310" s="111"/>
      <c r="E310" s="111"/>
      <c r="F310" s="111"/>
      <c r="G310" s="111"/>
      <c r="H310" s="111"/>
      <c r="I310" s="111"/>
      <c r="J310" s="111"/>
      <c r="K310" s="111"/>
      <c r="L310" s="111"/>
      <c r="M310" s="111"/>
      <c r="O310" s="264" t="s">
        <v>730</v>
      </c>
      <c r="P310" s="248"/>
    </row>
    <row r="311" spans="1:16" customFormat="1">
      <c r="A311" s="2" t="s">
        <v>710</v>
      </c>
      <c r="C311" s="110">
        <f>SUM(D310:M310)</f>
        <v>0</v>
      </c>
      <c r="D311" s="111"/>
      <c r="E311" s="111"/>
      <c r="F311" s="111"/>
      <c r="G311" s="111"/>
      <c r="H311" s="111"/>
      <c r="I311" s="111"/>
      <c r="J311" s="111"/>
      <c r="K311" s="111"/>
      <c r="L311" s="111"/>
      <c r="M311" s="111"/>
      <c r="O311" s="264" t="s">
        <v>730</v>
      </c>
      <c r="P311" s="248"/>
    </row>
    <row r="312" spans="1:16" customFormat="1">
      <c r="A312" s="97" t="s">
        <v>711</v>
      </c>
      <c r="C312" s="110">
        <f t="shared" ref="C312:M312" si="67">SUM(C310:C311)</f>
        <v>0</v>
      </c>
      <c r="D312" s="110">
        <f t="shared" si="67"/>
        <v>0</v>
      </c>
      <c r="E312" s="110">
        <f t="shared" si="67"/>
        <v>0</v>
      </c>
      <c r="F312" s="110">
        <f t="shared" si="67"/>
        <v>0</v>
      </c>
      <c r="G312" s="110">
        <f t="shared" si="67"/>
        <v>0</v>
      </c>
      <c r="H312" s="110">
        <f t="shared" si="67"/>
        <v>0</v>
      </c>
      <c r="I312" s="110">
        <f t="shared" si="67"/>
        <v>0</v>
      </c>
      <c r="J312" s="110">
        <f t="shared" si="67"/>
        <v>0</v>
      </c>
      <c r="K312" s="110">
        <f t="shared" si="67"/>
        <v>0</v>
      </c>
      <c r="L312" s="110">
        <f t="shared" si="67"/>
        <v>0</v>
      </c>
      <c r="M312" s="110">
        <f t="shared" si="67"/>
        <v>0</v>
      </c>
      <c r="O312" s="265"/>
      <c r="P312" s="247"/>
    </row>
    <row r="313" spans="1:16" customFormat="1">
      <c r="C313" s="23"/>
      <c r="D313" s="6"/>
      <c r="E313" s="6"/>
      <c r="F313" s="6"/>
      <c r="G313" s="6"/>
      <c r="H313" s="6"/>
      <c r="I313" s="6"/>
      <c r="J313" s="6"/>
      <c r="K313" s="6"/>
      <c r="L313" s="6"/>
      <c r="M313" s="6"/>
      <c r="O313" s="265"/>
      <c r="P313" s="247"/>
    </row>
    <row r="314" spans="1:16" customFormat="1">
      <c r="A314" s="1" t="s">
        <v>712</v>
      </c>
      <c r="C314" s="113" t="s">
        <v>191</v>
      </c>
      <c r="D314" s="113" t="s">
        <v>255</v>
      </c>
      <c r="E314" s="113" t="s">
        <v>256</v>
      </c>
      <c r="F314" s="113" t="s">
        <v>257</v>
      </c>
      <c r="G314" s="113" t="s">
        <v>702</v>
      </c>
      <c r="H314" s="113" t="s">
        <v>703</v>
      </c>
      <c r="I314" s="113" t="s">
        <v>704</v>
      </c>
      <c r="J314" s="113" t="s">
        <v>705</v>
      </c>
      <c r="K314" s="113" t="s">
        <v>706</v>
      </c>
      <c r="L314" s="113" t="s">
        <v>707</v>
      </c>
      <c r="M314" s="113" t="s">
        <v>708</v>
      </c>
      <c r="O314" s="265"/>
      <c r="P314" s="247"/>
    </row>
    <row r="315" spans="1:16" customFormat="1">
      <c r="A315" s="2" t="s">
        <v>731</v>
      </c>
      <c r="C315" s="110">
        <f>SUM(D314:M314)</f>
        <v>0</v>
      </c>
      <c r="D315" s="111">
        <v>50000</v>
      </c>
      <c r="E315" s="111"/>
      <c r="F315" s="111"/>
      <c r="G315" s="111"/>
      <c r="H315" s="111"/>
      <c r="I315" s="111"/>
      <c r="J315" s="111"/>
      <c r="K315" s="111"/>
      <c r="L315" s="111"/>
      <c r="M315" s="111"/>
      <c r="O315" s="264" t="s">
        <v>732</v>
      </c>
      <c r="P315" s="248"/>
    </row>
    <row r="316" spans="1:16" customFormat="1">
      <c r="A316" s="2" t="s">
        <v>733</v>
      </c>
      <c r="C316" s="110">
        <f>SUM(D315:M315)</f>
        <v>50000</v>
      </c>
      <c r="D316" s="111">
        <v>300000</v>
      </c>
      <c r="E316" s="111"/>
      <c r="F316" s="111"/>
      <c r="G316" s="111"/>
      <c r="H316" s="111"/>
      <c r="I316" s="111"/>
      <c r="J316" s="111"/>
      <c r="K316" s="111"/>
      <c r="L316" s="111"/>
      <c r="M316" s="111"/>
      <c r="O316" s="264" t="s">
        <v>732</v>
      </c>
      <c r="P316" s="248"/>
    </row>
    <row r="317" spans="1:16" customFormat="1">
      <c r="A317" s="2" t="s">
        <v>734</v>
      </c>
      <c r="C317" s="110">
        <f>SUM(D316:M316)</f>
        <v>300000</v>
      </c>
      <c r="D317" s="111">
        <v>50000</v>
      </c>
      <c r="E317" s="111">
        <v>50000</v>
      </c>
      <c r="F317" s="111"/>
      <c r="G317" s="111"/>
      <c r="H317" s="111"/>
      <c r="I317" s="111"/>
      <c r="J317" s="111"/>
      <c r="K317" s="111"/>
      <c r="L317" s="111"/>
      <c r="M317" s="111"/>
      <c r="O317" s="264" t="s">
        <v>735</v>
      </c>
      <c r="P317" s="248"/>
    </row>
    <row r="318" spans="1:16" customFormat="1">
      <c r="A318" s="2" t="s">
        <v>736</v>
      </c>
      <c r="C318" s="110">
        <f>SUM(D317:M317)</f>
        <v>100000</v>
      </c>
      <c r="D318" s="111"/>
      <c r="E318" s="111">
        <v>50000</v>
      </c>
      <c r="F318" s="111"/>
      <c r="G318" s="111"/>
      <c r="H318" s="111"/>
      <c r="I318" s="111"/>
      <c r="J318" s="111"/>
      <c r="K318" s="111"/>
      <c r="L318" s="111"/>
      <c r="M318" s="111"/>
      <c r="O318" s="264" t="s">
        <v>732</v>
      </c>
      <c r="P318" s="248"/>
    </row>
    <row r="319" spans="1:16" customFormat="1">
      <c r="A319" s="97" t="s">
        <v>713</v>
      </c>
      <c r="C319" s="110">
        <f t="shared" ref="C319:M319" si="68">SUM(C315:C318)</f>
        <v>450000</v>
      </c>
      <c r="D319" s="110">
        <f t="shared" si="68"/>
        <v>400000</v>
      </c>
      <c r="E319" s="110">
        <f t="shared" si="68"/>
        <v>100000</v>
      </c>
      <c r="F319" s="110">
        <f t="shared" si="68"/>
        <v>0</v>
      </c>
      <c r="G319" s="110">
        <f t="shared" si="68"/>
        <v>0</v>
      </c>
      <c r="H319" s="110">
        <f t="shared" si="68"/>
        <v>0</v>
      </c>
      <c r="I319" s="110">
        <f t="shared" si="68"/>
        <v>0</v>
      </c>
      <c r="J319" s="110">
        <f t="shared" si="68"/>
        <v>0</v>
      </c>
      <c r="K319" s="110">
        <f t="shared" si="68"/>
        <v>0</v>
      </c>
      <c r="L319" s="110">
        <f t="shared" si="68"/>
        <v>0</v>
      </c>
      <c r="M319" s="110">
        <f t="shared" si="68"/>
        <v>0</v>
      </c>
      <c r="O319" s="265"/>
      <c r="P319" s="247"/>
    </row>
    <row r="320" spans="1:16" customFormat="1">
      <c r="C320" s="23"/>
      <c r="D320" s="6"/>
      <c r="E320" s="6"/>
      <c r="F320" s="6"/>
      <c r="G320" s="6"/>
      <c r="H320" s="6"/>
      <c r="I320" s="6"/>
      <c r="J320" s="6"/>
      <c r="K320" s="6"/>
      <c r="L320" s="6"/>
      <c r="M320" s="6"/>
      <c r="O320" s="265"/>
      <c r="P320" s="247"/>
    </row>
    <row r="321" spans="1:17" customFormat="1">
      <c r="A321" s="16" t="s">
        <v>714</v>
      </c>
      <c r="C321" s="110">
        <f t="shared" ref="C321:M321" si="69">C319+C312</f>
        <v>450000</v>
      </c>
      <c r="D321" s="110">
        <f t="shared" si="69"/>
        <v>400000</v>
      </c>
      <c r="E321" s="110">
        <f t="shared" si="69"/>
        <v>100000</v>
      </c>
      <c r="F321" s="110">
        <f t="shared" si="69"/>
        <v>0</v>
      </c>
      <c r="G321" s="110">
        <f t="shared" si="69"/>
        <v>0</v>
      </c>
      <c r="H321" s="110">
        <f t="shared" si="69"/>
        <v>0</v>
      </c>
      <c r="I321" s="110">
        <f t="shared" si="69"/>
        <v>0</v>
      </c>
      <c r="J321" s="110">
        <f t="shared" si="69"/>
        <v>0</v>
      </c>
      <c r="K321" s="110">
        <f t="shared" si="69"/>
        <v>0</v>
      </c>
      <c r="L321" s="110">
        <f t="shared" si="69"/>
        <v>0</v>
      </c>
      <c r="M321" s="110">
        <f t="shared" si="69"/>
        <v>0</v>
      </c>
      <c r="O321" s="265"/>
      <c r="P321" s="247"/>
    </row>
    <row r="322" spans="1:17" customFormat="1">
      <c r="C322" s="23"/>
      <c r="D322" s="6"/>
      <c r="E322" s="6"/>
      <c r="F322" s="6"/>
      <c r="G322" s="6"/>
      <c r="H322" s="6"/>
      <c r="I322" s="6"/>
      <c r="J322" s="6"/>
      <c r="K322" s="6"/>
      <c r="L322" s="6"/>
      <c r="M322" s="6"/>
      <c r="O322" s="265"/>
      <c r="P322" s="247"/>
    </row>
    <row r="323" spans="1:17" customFormat="1">
      <c r="A323" s="1" t="s">
        <v>715</v>
      </c>
      <c r="C323" s="113" t="s">
        <v>191</v>
      </c>
      <c r="D323" s="113" t="s">
        <v>255</v>
      </c>
      <c r="E323" s="113" t="s">
        <v>256</v>
      </c>
      <c r="F323" s="113" t="s">
        <v>257</v>
      </c>
      <c r="G323" s="113" t="s">
        <v>702</v>
      </c>
      <c r="H323" s="113" t="s">
        <v>703</v>
      </c>
      <c r="I323" s="113" t="s">
        <v>704</v>
      </c>
      <c r="J323" s="113" t="s">
        <v>705</v>
      </c>
      <c r="K323" s="113" t="s">
        <v>706</v>
      </c>
      <c r="L323" s="113" t="s">
        <v>707</v>
      </c>
      <c r="M323" s="113" t="s">
        <v>708</v>
      </c>
      <c r="O323" s="265"/>
      <c r="P323" s="247"/>
    </row>
    <row r="324" spans="1:17" customFormat="1">
      <c r="A324" s="2" t="s">
        <v>709</v>
      </c>
      <c r="C324" s="117">
        <f>SUM(D323:M323)</f>
        <v>0</v>
      </c>
      <c r="D324" s="111"/>
      <c r="E324" s="111"/>
      <c r="F324" s="111"/>
      <c r="G324" s="111"/>
      <c r="H324" s="111"/>
      <c r="I324" s="111"/>
      <c r="J324" s="111"/>
      <c r="K324" s="111"/>
      <c r="L324" s="111"/>
      <c r="M324" s="111"/>
      <c r="O324" s="264" t="s">
        <v>730</v>
      </c>
      <c r="P324" s="248"/>
    </row>
    <row r="325" spans="1:17" customFormat="1">
      <c r="A325" s="2" t="s">
        <v>710</v>
      </c>
      <c r="C325" s="110">
        <f>SUM(D324:M324)</f>
        <v>0</v>
      </c>
      <c r="D325" s="111"/>
      <c r="E325" s="111"/>
      <c r="F325" s="111"/>
      <c r="G325" s="111"/>
      <c r="H325" s="111"/>
      <c r="I325" s="111"/>
      <c r="J325" s="111"/>
      <c r="K325" s="111"/>
      <c r="L325" s="111"/>
      <c r="M325" s="111"/>
      <c r="O325" s="264" t="s">
        <v>730</v>
      </c>
      <c r="P325" s="248"/>
    </row>
    <row r="326" spans="1:17" customFormat="1">
      <c r="A326" s="97" t="s">
        <v>716</v>
      </c>
      <c r="C326" s="110">
        <f>SUM(C324:C325)</f>
        <v>0</v>
      </c>
      <c r="D326" s="110">
        <f t="shared" ref="D326:M326" si="70">SUM(D324:D325)</f>
        <v>0</v>
      </c>
      <c r="E326" s="110">
        <f t="shared" si="70"/>
        <v>0</v>
      </c>
      <c r="F326" s="110">
        <f t="shared" si="70"/>
        <v>0</v>
      </c>
      <c r="G326" s="110">
        <f t="shared" si="70"/>
        <v>0</v>
      </c>
      <c r="H326" s="110">
        <f t="shared" si="70"/>
        <v>0</v>
      </c>
      <c r="I326" s="110">
        <f t="shared" si="70"/>
        <v>0</v>
      </c>
      <c r="J326" s="110">
        <f t="shared" si="70"/>
        <v>0</v>
      </c>
      <c r="K326" s="110">
        <f t="shared" si="70"/>
        <v>0</v>
      </c>
      <c r="L326" s="110">
        <f t="shared" si="70"/>
        <v>0</v>
      </c>
      <c r="M326" s="110">
        <f t="shared" si="70"/>
        <v>0</v>
      </c>
      <c r="O326" s="265"/>
      <c r="P326" s="247"/>
    </row>
    <row r="327" spans="1:17" customFormat="1">
      <c r="C327" s="23"/>
      <c r="D327" s="6"/>
      <c r="E327" s="6"/>
      <c r="F327" s="6"/>
      <c r="G327" s="6"/>
      <c r="H327" s="6"/>
      <c r="I327" s="6"/>
      <c r="J327" s="6"/>
      <c r="K327" s="6"/>
      <c r="L327" s="6"/>
      <c r="M327" s="6"/>
      <c r="O327" s="265"/>
      <c r="P327" s="247"/>
    </row>
    <row r="328" spans="1:17" customFormat="1">
      <c r="A328" s="16" t="s">
        <v>717</v>
      </c>
      <c r="C328" s="113" t="s">
        <v>191</v>
      </c>
      <c r="D328" s="100" t="s">
        <v>255</v>
      </c>
      <c r="E328" s="100" t="s">
        <v>256</v>
      </c>
      <c r="F328" s="100" t="s">
        <v>257</v>
      </c>
      <c r="G328" s="100" t="s">
        <v>702</v>
      </c>
      <c r="H328" s="100" t="s">
        <v>703</v>
      </c>
      <c r="I328" s="100" t="s">
        <v>704</v>
      </c>
      <c r="J328" s="100" t="s">
        <v>705</v>
      </c>
      <c r="K328" s="100" t="s">
        <v>706</v>
      </c>
      <c r="L328" s="100" t="s">
        <v>707</v>
      </c>
      <c r="M328" s="100" t="s">
        <v>708</v>
      </c>
      <c r="O328" s="265"/>
      <c r="P328" s="247"/>
    </row>
    <row r="329" spans="1:17" customFormat="1">
      <c r="A329" s="2" t="s">
        <v>515</v>
      </c>
      <c r="C329" s="110">
        <f t="shared" ref="C329:C334" si="71">SUM(D328:M328)</f>
        <v>0</v>
      </c>
      <c r="D329" s="102"/>
      <c r="E329" s="103"/>
      <c r="F329" s="103"/>
      <c r="G329" s="103"/>
      <c r="H329" s="103"/>
      <c r="I329" s="103"/>
      <c r="J329" s="103"/>
      <c r="K329" s="103"/>
      <c r="L329" s="103"/>
      <c r="M329" s="103"/>
      <c r="O329" s="264">
        <v>1000000</v>
      </c>
      <c r="P329" s="248"/>
      <c r="Q329" s="2" t="s">
        <v>737</v>
      </c>
    </row>
    <row r="330" spans="1:17" customFormat="1">
      <c r="A330" s="3" t="s">
        <v>718</v>
      </c>
      <c r="C330" s="110">
        <f t="shared" si="71"/>
        <v>0</v>
      </c>
      <c r="D330" s="102"/>
      <c r="E330" s="103">
        <v>225000</v>
      </c>
      <c r="F330" s="103">
        <v>300000</v>
      </c>
      <c r="G330" s="103">
        <v>300000</v>
      </c>
      <c r="H330" s="103">
        <v>300000</v>
      </c>
      <c r="I330" s="103">
        <v>300000</v>
      </c>
      <c r="J330" s="103"/>
      <c r="K330" s="103"/>
      <c r="L330" s="103"/>
      <c r="M330" s="103"/>
      <c r="O330" s="264">
        <v>1000</v>
      </c>
      <c r="P330" s="248"/>
      <c r="Q330" s="2" t="s">
        <v>738</v>
      </c>
    </row>
    <row r="331" spans="1:17" customFormat="1">
      <c r="A331" s="2" t="s">
        <v>719</v>
      </c>
      <c r="C331" s="110">
        <f t="shared" si="71"/>
        <v>1425000</v>
      </c>
      <c r="D331" s="102"/>
      <c r="E331" s="103"/>
      <c r="F331" s="103"/>
      <c r="G331" s="103"/>
      <c r="H331" s="103"/>
      <c r="I331" s="103"/>
      <c r="J331" s="103"/>
      <c r="K331" s="103"/>
      <c r="L331" s="103"/>
      <c r="M331" s="103"/>
      <c r="O331" s="266">
        <v>0.3</v>
      </c>
      <c r="P331" s="248"/>
      <c r="Q331" s="2" t="s">
        <v>739</v>
      </c>
    </row>
    <row r="332" spans="1:17" customFormat="1">
      <c r="A332" s="2" t="s">
        <v>720</v>
      </c>
      <c r="C332" s="110">
        <f t="shared" si="71"/>
        <v>0</v>
      </c>
      <c r="D332" s="102"/>
      <c r="E332" s="103"/>
      <c r="F332" s="103"/>
      <c r="G332" s="103"/>
      <c r="H332" s="103"/>
      <c r="I332" s="103"/>
      <c r="J332" s="103"/>
      <c r="K332" s="103"/>
      <c r="L332" s="103"/>
      <c r="M332" s="103"/>
      <c r="O332" s="264"/>
      <c r="P332" s="248"/>
    </row>
    <row r="333" spans="1:17" customFormat="1">
      <c r="A333" s="2" t="s">
        <v>721</v>
      </c>
      <c r="C333" s="110">
        <f t="shared" si="71"/>
        <v>0</v>
      </c>
      <c r="D333" s="102"/>
      <c r="E333" s="103">
        <v>75000</v>
      </c>
      <c r="F333" s="103">
        <v>100000</v>
      </c>
      <c r="G333" s="103">
        <v>100000</v>
      </c>
      <c r="H333" s="103">
        <v>100000</v>
      </c>
      <c r="I333" s="103">
        <v>100000</v>
      </c>
      <c r="J333" s="103"/>
      <c r="K333" s="103"/>
      <c r="L333" s="103"/>
      <c r="M333" s="103"/>
      <c r="O333" s="264" t="s">
        <v>740</v>
      </c>
      <c r="P333" s="248"/>
    </row>
    <row r="334" spans="1:17" customFormat="1">
      <c r="A334" s="2" t="s">
        <v>722</v>
      </c>
      <c r="C334" s="110">
        <f t="shared" si="71"/>
        <v>475000</v>
      </c>
      <c r="D334" s="102"/>
      <c r="E334" s="103"/>
      <c r="F334" s="103"/>
      <c r="G334" s="103"/>
      <c r="H334" s="103"/>
      <c r="I334" s="103"/>
      <c r="J334" s="103"/>
      <c r="K334" s="103"/>
      <c r="L334" s="103"/>
      <c r="M334" s="103"/>
      <c r="O334" s="264"/>
      <c r="P334" s="248"/>
    </row>
    <row r="335" spans="1:17" customFormat="1">
      <c r="A335" s="1"/>
      <c r="C335" s="6"/>
      <c r="D335" s="6"/>
      <c r="E335" s="6"/>
      <c r="F335" s="6"/>
      <c r="G335" s="6"/>
      <c r="H335" s="6"/>
      <c r="I335" s="6"/>
      <c r="J335" s="6"/>
      <c r="K335" s="6"/>
      <c r="L335" s="6"/>
      <c r="M335" s="6"/>
    </row>
    <row r="336" spans="1:17" customFormat="1" ht="15.75" customHeight="1">
      <c r="A336" s="16" t="s">
        <v>723</v>
      </c>
      <c r="C336" s="110">
        <f t="shared" ref="C336:M336" si="72">SUM(C329:C334)</f>
        <v>1900000</v>
      </c>
      <c r="D336" s="120">
        <f t="shared" si="72"/>
        <v>0</v>
      </c>
      <c r="E336" s="120">
        <f t="shared" si="72"/>
        <v>300000</v>
      </c>
      <c r="F336" s="120">
        <f t="shared" si="72"/>
        <v>400000</v>
      </c>
      <c r="G336" s="120">
        <f t="shared" si="72"/>
        <v>400000</v>
      </c>
      <c r="H336" s="120">
        <f t="shared" si="72"/>
        <v>400000</v>
      </c>
      <c r="I336" s="120">
        <f t="shared" si="72"/>
        <v>400000</v>
      </c>
      <c r="J336" s="120">
        <f t="shared" si="72"/>
        <v>0</v>
      </c>
      <c r="K336" s="120">
        <f t="shared" si="72"/>
        <v>0</v>
      </c>
      <c r="L336" s="120">
        <f t="shared" si="72"/>
        <v>0</v>
      </c>
      <c r="M336" s="120">
        <f t="shared" si="72"/>
        <v>0</v>
      </c>
    </row>
    <row r="337" spans="1:18" customFormat="1"/>
    <row r="338" spans="1:18" customFormat="1">
      <c r="C338" s="118" t="s">
        <v>724</v>
      </c>
      <c r="D338" s="110">
        <f>D336-D321-D326-D312</f>
        <v>-400000</v>
      </c>
      <c r="E338" s="110">
        <f t="shared" ref="E338:M338" si="73">E336-E321-E326</f>
        <v>200000</v>
      </c>
      <c r="F338" s="110">
        <f t="shared" si="73"/>
        <v>400000</v>
      </c>
      <c r="G338" s="110">
        <f t="shared" si="73"/>
        <v>400000</v>
      </c>
      <c r="H338" s="110">
        <f t="shared" si="73"/>
        <v>400000</v>
      </c>
      <c r="I338" s="110">
        <f t="shared" si="73"/>
        <v>400000</v>
      </c>
      <c r="J338" s="110">
        <f t="shared" si="73"/>
        <v>0</v>
      </c>
      <c r="K338" s="110">
        <f t="shared" si="73"/>
        <v>0</v>
      </c>
      <c r="L338" s="110">
        <f t="shared" si="73"/>
        <v>0</v>
      </c>
      <c r="M338" s="110">
        <f t="shared" si="73"/>
        <v>0</v>
      </c>
    </row>
    <row r="339" spans="1:18" customFormat="1">
      <c r="C339" s="118" t="s">
        <v>757</v>
      </c>
      <c r="D339" s="110">
        <f>D338</f>
        <v>-400000</v>
      </c>
      <c r="E339" s="110">
        <f>E338/(1+$D$244)^1</f>
        <v>200000</v>
      </c>
      <c r="F339" s="110">
        <f>F338/(1+$D$244)^2</f>
        <v>400000</v>
      </c>
      <c r="G339" s="110">
        <f>G338/(1+$D$244)^3</f>
        <v>400000</v>
      </c>
      <c r="H339" s="110">
        <f>H338/(1+$D$244)^4</f>
        <v>400000</v>
      </c>
      <c r="I339" s="110">
        <f>I338/(1+$D$244)^5</f>
        <v>400000</v>
      </c>
      <c r="J339" s="110"/>
      <c r="K339" s="110"/>
      <c r="L339" s="110"/>
      <c r="M339" s="110"/>
    </row>
    <row r="340" spans="1:18">
      <c r="A340"/>
      <c r="B340"/>
      <c r="C340" s="128" t="s">
        <v>682</v>
      </c>
      <c r="D340" s="129">
        <f>F306</f>
        <v>0.72436943702714718</v>
      </c>
      <c r="E340" s="126"/>
      <c r="F340" s="126"/>
      <c r="G340" s="126"/>
      <c r="H340" s="126"/>
      <c r="I340" s="126"/>
      <c r="J340" s="126"/>
      <c r="K340" s="126"/>
      <c r="L340" s="126"/>
      <c r="M340" s="126"/>
      <c r="N340"/>
      <c r="O340"/>
      <c r="P340"/>
      <c r="Q340"/>
      <c r="R340"/>
    </row>
    <row r="352" spans="1:18">
      <c r="A352" s="98" t="s">
        <v>696</v>
      </c>
      <c r="B352" s="98"/>
      <c r="C352" s="98"/>
      <c r="D352" s="98"/>
      <c r="E352" s="98"/>
      <c r="F352" s="98"/>
      <c r="G352" s="98"/>
      <c r="H352" s="98"/>
      <c r="I352" s="98"/>
      <c r="J352" s="98"/>
      <c r="K352" s="98"/>
      <c r="L352" s="98"/>
      <c r="M352" s="98"/>
      <c r="N352" s="98"/>
      <c r="O352" s="98"/>
      <c r="P352" s="98"/>
      <c r="Q352" s="98"/>
      <c r="R352" s="98"/>
    </row>
  </sheetData>
  <mergeCells count="183">
    <mergeCell ref="B25:E25"/>
    <mergeCell ref="G25:R25"/>
    <mergeCell ref="A291:J291"/>
    <mergeCell ref="O329:P329"/>
    <mergeCell ref="O330:P330"/>
    <mergeCell ref="O331:P331"/>
    <mergeCell ref="O332:P332"/>
    <mergeCell ref="O333:P333"/>
    <mergeCell ref="O334:P334"/>
    <mergeCell ref="O323:P323"/>
    <mergeCell ref="O324:P324"/>
    <mergeCell ref="O325:P325"/>
    <mergeCell ref="O326:P326"/>
    <mergeCell ref="O327:P327"/>
    <mergeCell ref="O328:P328"/>
    <mergeCell ref="O317:P317"/>
    <mergeCell ref="O318:P318"/>
    <mergeCell ref="O319:P319"/>
    <mergeCell ref="O320:P320"/>
    <mergeCell ref="O321:P321"/>
    <mergeCell ref="O322:P322"/>
    <mergeCell ref="O311:P311"/>
    <mergeCell ref="O312:P312"/>
    <mergeCell ref="O313:P313"/>
    <mergeCell ref="O314:P314"/>
    <mergeCell ref="O315:P315"/>
    <mergeCell ref="O316:P316"/>
    <mergeCell ref="O276:P276"/>
    <mergeCell ref="O277:P277"/>
    <mergeCell ref="O278:P278"/>
    <mergeCell ref="O279:P279"/>
    <mergeCell ref="O308:P308"/>
    <mergeCell ref="O310:P310"/>
    <mergeCell ref="O270:P270"/>
    <mergeCell ref="O271:P271"/>
    <mergeCell ref="O272:P272"/>
    <mergeCell ref="O273:P273"/>
    <mergeCell ref="O274:P274"/>
    <mergeCell ref="O275:P275"/>
    <mergeCell ref="O264:P264"/>
    <mergeCell ref="O265:P265"/>
    <mergeCell ref="O266:P266"/>
    <mergeCell ref="O267:P267"/>
    <mergeCell ref="O268:P268"/>
    <mergeCell ref="O269:P269"/>
    <mergeCell ref="O258:P258"/>
    <mergeCell ref="O259:P259"/>
    <mergeCell ref="O260:P260"/>
    <mergeCell ref="O261:P261"/>
    <mergeCell ref="O262:P262"/>
    <mergeCell ref="O263:P263"/>
    <mergeCell ref="O231:P231"/>
    <mergeCell ref="O232:P232"/>
    <mergeCell ref="O253:P253"/>
    <mergeCell ref="O255:P255"/>
    <mergeCell ref="O256:P256"/>
    <mergeCell ref="O257:P257"/>
    <mergeCell ref="O225:P225"/>
    <mergeCell ref="O226:P226"/>
    <mergeCell ref="O227:P227"/>
    <mergeCell ref="O228:P228"/>
    <mergeCell ref="O229:P229"/>
    <mergeCell ref="O230:P230"/>
    <mergeCell ref="O219:P219"/>
    <mergeCell ref="O220:P220"/>
    <mergeCell ref="O221:P221"/>
    <mergeCell ref="O222:P222"/>
    <mergeCell ref="O223:P223"/>
    <mergeCell ref="O224:P224"/>
    <mergeCell ref="O213:P213"/>
    <mergeCell ref="O214:P214"/>
    <mergeCell ref="O215:P215"/>
    <mergeCell ref="O216:P216"/>
    <mergeCell ref="O217:P217"/>
    <mergeCell ref="O218:P218"/>
    <mergeCell ref="O206:P206"/>
    <mergeCell ref="O208:P208"/>
    <mergeCell ref="O209:P209"/>
    <mergeCell ref="O210:P210"/>
    <mergeCell ref="O211:P211"/>
    <mergeCell ref="O212:P212"/>
    <mergeCell ref="O188:P188"/>
    <mergeCell ref="O189:P189"/>
    <mergeCell ref="O190:P190"/>
    <mergeCell ref="O191:P191"/>
    <mergeCell ref="O192:P192"/>
    <mergeCell ref="O193:P193"/>
    <mergeCell ref="O182:P182"/>
    <mergeCell ref="O183:P183"/>
    <mergeCell ref="O184:P184"/>
    <mergeCell ref="O185:P185"/>
    <mergeCell ref="O186:P186"/>
    <mergeCell ref="O187:P187"/>
    <mergeCell ref="O176:P176"/>
    <mergeCell ref="O177:P177"/>
    <mergeCell ref="O178:P178"/>
    <mergeCell ref="O179:P179"/>
    <mergeCell ref="O180:P180"/>
    <mergeCell ref="O181:P181"/>
    <mergeCell ref="O170:P170"/>
    <mergeCell ref="O171:P171"/>
    <mergeCell ref="O172:P172"/>
    <mergeCell ref="O173:P173"/>
    <mergeCell ref="O174:P174"/>
    <mergeCell ref="O175:P175"/>
    <mergeCell ref="O155:P155"/>
    <mergeCell ref="O156:P156"/>
    <mergeCell ref="O157:P157"/>
    <mergeCell ref="O158:P158"/>
    <mergeCell ref="O167:P167"/>
    <mergeCell ref="O169:P169"/>
    <mergeCell ref="O149:P149"/>
    <mergeCell ref="O150:P150"/>
    <mergeCell ref="O151:P151"/>
    <mergeCell ref="O152:P152"/>
    <mergeCell ref="O153:P153"/>
    <mergeCell ref="O154:P154"/>
    <mergeCell ref="O143:P143"/>
    <mergeCell ref="O144:P144"/>
    <mergeCell ref="O145:P145"/>
    <mergeCell ref="O146:P146"/>
    <mergeCell ref="O147:P147"/>
    <mergeCell ref="O148:P148"/>
    <mergeCell ref="O137:P137"/>
    <mergeCell ref="O138:P138"/>
    <mergeCell ref="O139:P139"/>
    <mergeCell ref="O140:P140"/>
    <mergeCell ref="O141:P141"/>
    <mergeCell ref="O142:P142"/>
    <mergeCell ref="O114:P114"/>
    <mergeCell ref="O115:P115"/>
    <mergeCell ref="O132:P132"/>
    <mergeCell ref="O134:P134"/>
    <mergeCell ref="O135:P135"/>
    <mergeCell ref="O136:P136"/>
    <mergeCell ref="O108:P108"/>
    <mergeCell ref="O109:P109"/>
    <mergeCell ref="O110:P110"/>
    <mergeCell ref="O111:P111"/>
    <mergeCell ref="O112:P112"/>
    <mergeCell ref="O113:P113"/>
    <mergeCell ref="O102:P102"/>
    <mergeCell ref="O103:P103"/>
    <mergeCell ref="O104:P104"/>
    <mergeCell ref="O105:P105"/>
    <mergeCell ref="O106:P106"/>
    <mergeCell ref="O107:P107"/>
    <mergeCell ref="O96:P96"/>
    <mergeCell ref="O97:P97"/>
    <mergeCell ref="O98:P98"/>
    <mergeCell ref="O99:P99"/>
    <mergeCell ref="O100:P100"/>
    <mergeCell ref="O101:P101"/>
    <mergeCell ref="O89:P89"/>
    <mergeCell ref="O91:P91"/>
    <mergeCell ref="O92:P92"/>
    <mergeCell ref="O93:P93"/>
    <mergeCell ref="O94:P94"/>
    <mergeCell ref="O95:P95"/>
    <mergeCell ref="O67:P67"/>
    <mergeCell ref="O68:P68"/>
    <mergeCell ref="O69:P69"/>
    <mergeCell ref="O70:P70"/>
    <mergeCell ref="O71:P71"/>
    <mergeCell ref="O72:P72"/>
    <mergeCell ref="O64:P64"/>
    <mergeCell ref="O65:P65"/>
    <mergeCell ref="O66:P66"/>
    <mergeCell ref="O55:P55"/>
    <mergeCell ref="O56:P56"/>
    <mergeCell ref="O57:P57"/>
    <mergeCell ref="O58:P58"/>
    <mergeCell ref="O59:P59"/>
    <mergeCell ref="O60:P60"/>
    <mergeCell ref="O48:P48"/>
    <mergeCell ref="O50:P50"/>
    <mergeCell ref="O51:P51"/>
    <mergeCell ref="O52:P52"/>
    <mergeCell ref="O53:P53"/>
    <mergeCell ref="O54:P54"/>
    <mergeCell ref="O61:P61"/>
    <mergeCell ref="O62:P62"/>
    <mergeCell ref="O63:P63"/>
  </mergeCells>
  <hyperlinks>
    <hyperlink ref="I14" r:id="rId1" xr:uid="{D5AD98B6-06CE-407C-A955-AA94D0462D0C}"/>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E3D2E-CD50-4D5F-A6AA-9B5008AD4885}">
  <dimension ref="A9:AA1016"/>
  <sheetViews>
    <sheetView topLeftCell="A13" workbookViewId="0">
      <selection activeCell="J58" sqref="J58"/>
    </sheetView>
  </sheetViews>
  <sheetFormatPr defaultColWidth="12.6640625" defaultRowHeight="15.75" customHeight="1"/>
  <cols>
    <col min="1" max="1" width="12" style="170" customWidth="1"/>
    <col min="2" max="2" width="7.33203125" style="170" customWidth="1"/>
    <col min="3" max="3" width="7" style="170" customWidth="1"/>
    <col min="4" max="4" width="10.77734375" style="170" customWidth="1"/>
    <col min="5" max="5" width="22.88671875" style="170" customWidth="1"/>
    <col min="6" max="6" width="10.77734375" style="152" customWidth="1"/>
    <col min="7" max="7" width="2.33203125" style="170" customWidth="1"/>
    <col min="8" max="8" width="19.6640625" style="170" customWidth="1"/>
    <col min="9" max="14" width="11.109375" style="170" customWidth="1"/>
    <col min="15" max="17" width="9.109375" style="225" customWidth="1"/>
    <col min="18" max="26" width="10" style="225" customWidth="1"/>
    <col min="27" max="27" width="12.6640625" style="225"/>
    <col min="28" max="16384" width="12.6640625" style="170"/>
  </cols>
  <sheetData>
    <row r="9" spans="1:26" ht="15.75" customHeight="1">
      <c r="A9" s="170" t="s">
        <v>859</v>
      </c>
    </row>
    <row r="10" spans="1:26" ht="15.75" customHeight="1">
      <c r="A10" s="170" t="s">
        <v>860</v>
      </c>
    </row>
    <row r="12" spans="1:26" ht="15.75" customHeight="1">
      <c r="B12" s="171" t="s">
        <v>861</v>
      </c>
      <c r="C12" s="171"/>
      <c r="D12" s="171"/>
      <c r="E12" s="171"/>
      <c r="F12" s="167"/>
      <c r="G12" s="171"/>
      <c r="H12" s="171"/>
      <c r="I12" s="171"/>
    </row>
    <row r="13" spans="1:26" ht="15.75" customHeight="1">
      <c r="B13" s="171" t="s">
        <v>862</v>
      </c>
      <c r="C13" s="171"/>
      <c r="D13" s="171"/>
      <c r="E13" s="171"/>
      <c r="F13" s="167"/>
      <c r="G13" s="171"/>
      <c r="H13" s="171"/>
      <c r="I13" s="171"/>
    </row>
    <row r="16" spans="1:26" ht="18" customHeight="1">
      <c r="A16" s="466" t="s">
        <v>791</v>
      </c>
      <c r="B16" s="467"/>
      <c r="C16" s="468"/>
      <c r="D16" s="467"/>
      <c r="E16" s="469"/>
      <c r="F16" s="470"/>
      <c r="G16" s="172"/>
      <c r="H16" s="285" t="s">
        <v>792</v>
      </c>
      <c r="I16" s="286"/>
      <c r="J16" s="172"/>
      <c r="K16" s="287" t="s">
        <v>682</v>
      </c>
      <c r="L16" s="288"/>
      <c r="M16" s="289"/>
      <c r="N16" s="172"/>
      <c r="O16" s="226"/>
      <c r="P16" s="226"/>
      <c r="Q16" s="226"/>
      <c r="R16" s="227"/>
      <c r="S16" s="227"/>
      <c r="T16" s="227"/>
      <c r="U16" s="227"/>
      <c r="V16" s="227"/>
      <c r="W16" s="227"/>
      <c r="X16" s="227"/>
      <c r="Y16" s="227"/>
      <c r="Z16" s="227"/>
    </row>
    <row r="17" spans="1:26" ht="12.75" customHeight="1">
      <c r="A17" s="178"/>
      <c r="B17" s="172"/>
      <c r="C17" s="172"/>
      <c r="D17" s="172"/>
      <c r="E17" s="172"/>
      <c r="F17" s="149"/>
      <c r="G17" s="172"/>
      <c r="H17" s="179"/>
      <c r="I17" s="180"/>
      <c r="J17" s="172"/>
      <c r="K17" s="181" t="s">
        <v>793</v>
      </c>
      <c r="L17" s="182"/>
      <c r="M17" s="180"/>
      <c r="N17" s="172"/>
      <c r="O17" s="226"/>
      <c r="P17" s="226"/>
      <c r="Q17" s="226"/>
      <c r="R17" s="227"/>
      <c r="S17" s="227"/>
      <c r="T17" s="227"/>
      <c r="U17" s="227"/>
      <c r="V17" s="227"/>
      <c r="W17" s="227"/>
      <c r="X17" s="227"/>
      <c r="Y17" s="227"/>
      <c r="Z17" s="227"/>
    </row>
    <row r="18" spans="1:26" ht="12.75" customHeight="1">
      <c r="A18" s="174"/>
      <c r="B18" s="174"/>
      <c r="C18" s="174"/>
      <c r="D18" s="174"/>
      <c r="E18" s="174"/>
      <c r="F18" s="150"/>
      <c r="G18" s="172"/>
      <c r="H18" s="179" t="s">
        <v>787</v>
      </c>
      <c r="I18" s="202">
        <v>0.38829999999999998</v>
      </c>
      <c r="J18" s="172" t="s">
        <v>794</v>
      </c>
      <c r="K18" s="181" t="s">
        <v>795</v>
      </c>
      <c r="L18" s="182"/>
      <c r="M18" s="180"/>
      <c r="N18" s="172"/>
      <c r="O18" s="226"/>
      <c r="P18" s="226"/>
      <c r="Q18" s="226"/>
      <c r="R18" s="227"/>
      <c r="S18" s="227"/>
      <c r="T18" s="227"/>
      <c r="U18" s="227"/>
      <c r="V18" s="227"/>
      <c r="W18" s="227"/>
      <c r="X18" s="227"/>
      <c r="Y18" s="227"/>
      <c r="Z18" s="227"/>
    </row>
    <row r="19" spans="1:26" ht="12.75" customHeight="1">
      <c r="A19" s="183" t="s">
        <v>796</v>
      </c>
      <c r="B19" s="280" t="s">
        <v>858</v>
      </c>
      <c r="C19" s="281"/>
      <c r="D19" s="173" t="s">
        <v>743</v>
      </c>
      <c r="E19" s="280" t="s">
        <v>849</v>
      </c>
      <c r="F19" s="281"/>
      <c r="G19" s="172"/>
      <c r="H19" s="179"/>
      <c r="I19" s="203"/>
      <c r="J19" s="172"/>
      <c r="K19" s="184" t="s">
        <v>797</v>
      </c>
      <c r="L19" s="182"/>
      <c r="M19" s="180"/>
      <c r="N19" s="172"/>
      <c r="O19" s="226"/>
      <c r="P19" s="226"/>
      <c r="Q19" s="226"/>
      <c r="R19" s="227"/>
      <c r="S19" s="227"/>
      <c r="T19" s="227"/>
      <c r="U19" s="227"/>
      <c r="V19" s="227"/>
      <c r="W19" s="227"/>
      <c r="X19" s="227"/>
      <c r="Y19" s="227"/>
      <c r="Z19" s="227"/>
    </row>
    <row r="20" spans="1:26" ht="12.75" customHeight="1">
      <c r="A20" s="174"/>
      <c r="B20" s="172"/>
      <c r="C20" s="172"/>
      <c r="D20" s="172"/>
      <c r="E20" s="172"/>
      <c r="F20" s="149"/>
      <c r="G20" s="172"/>
      <c r="H20" s="179" t="s">
        <v>798</v>
      </c>
      <c r="I20" s="202">
        <v>0.06</v>
      </c>
      <c r="J20" s="172"/>
      <c r="K20" s="179" t="s">
        <v>799</v>
      </c>
      <c r="L20" s="182"/>
      <c r="M20" s="168">
        <f t="shared" ref="M20:M22" si="0">I55</f>
        <v>10394.605678503674</v>
      </c>
      <c r="N20" s="172"/>
      <c r="O20" s="226"/>
      <c r="P20" s="226"/>
      <c r="Q20" s="226"/>
      <c r="R20" s="227"/>
      <c r="S20" s="227"/>
      <c r="T20" s="227"/>
      <c r="U20" s="227"/>
      <c r="V20" s="227"/>
      <c r="W20" s="227"/>
      <c r="X20" s="227"/>
      <c r="Y20" s="227"/>
      <c r="Z20" s="227"/>
    </row>
    <row r="21" spans="1:26" ht="12.75" customHeight="1">
      <c r="A21" s="174" t="s">
        <v>800</v>
      </c>
      <c r="B21" s="172"/>
      <c r="C21" s="172"/>
      <c r="D21" s="172"/>
      <c r="E21" s="172"/>
      <c r="F21" s="149"/>
      <c r="G21" s="172"/>
      <c r="H21" s="179"/>
      <c r="I21" s="203"/>
      <c r="J21" s="172"/>
      <c r="K21" s="179" t="s">
        <v>801</v>
      </c>
      <c r="L21" s="182"/>
      <c r="M21" s="168">
        <f t="shared" si="0"/>
        <v>9104.1759635341914</v>
      </c>
      <c r="N21" s="172"/>
      <c r="O21" s="226"/>
      <c r="P21" s="226"/>
      <c r="Q21" s="226"/>
      <c r="R21" s="227"/>
      <c r="S21" s="227"/>
      <c r="T21" s="227"/>
      <c r="U21" s="227"/>
      <c r="V21" s="227"/>
      <c r="W21" s="227"/>
      <c r="X21" s="227"/>
      <c r="Y21" s="227"/>
      <c r="Z21" s="227"/>
    </row>
    <row r="22" spans="1:26" ht="12.75" customHeight="1">
      <c r="A22" s="174" t="s">
        <v>863</v>
      </c>
      <c r="B22" s="172"/>
      <c r="C22" s="172"/>
      <c r="D22" s="172"/>
      <c r="E22" s="172"/>
      <c r="F22" s="149"/>
      <c r="G22" s="172"/>
      <c r="H22" s="185" t="s">
        <v>802</v>
      </c>
      <c r="I22" s="204">
        <f>SUM(I17:I21)</f>
        <v>0.44829999999999998</v>
      </c>
      <c r="J22" s="172"/>
      <c r="K22" s="186" t="s">
        <v>803</v>
      </c>
      <c r="L22" s="187"/>
      <c r="M22" s="169">
        <f t="shared" si="0"/>
        <v>7212.0337794619791</v>
      </c>
      <c r="N22" s="172"/>
      <c r="O22" s="226"/>
      <c r="P22" s="226"/>
      <c r="Q22" s="226"/>
      <c r="R22" s="227"/>
      <c r="S22" s="227"/>
      <c r="T22" s="227"/>
      <c r="U22" s="227"/>
      <c r="V22" s="227"/>
      <c r="W22" s="227"/>
      <c r="X22" s="227"/>
      <c r="Y22" s="227"/>
      <c r="Z22" s="227"/>
    </row>
    <row r="23" spans="1:26" ht="12.75" customHeight="1">
      <c r="A23" s="174" t="s">
        <v>820</v>
      </c>
      <c r="B23" s="172"/>
      <c r="C23" s="172"/>
      <c r="D23" s="172"/>
      <c r="E23" s="172"/>
      <c r="F23" s="151"/>
      <c r="G23" s="172"/>
      <c r="H23" s="172"/>
      <c r="I23" s="172"/>
      <c r="J23" s="172"/>
      <c r="K23" s="172"/>
      <c r="L23" s="172"/>
      <c r="M23" s="172"/>
      <c r="N23" s="172"/>
      <c r="O23" s="226"/>
      <c r="P23" s="226"/>
      <c r="Q23" s="226"/>
      <c r="R23" s="227"/>
      <c r="S23" s="227"/>
      <c r="T23" s="227"/>
      <c r="U23" s="227"/>
      <c r="V23" s="227"/>
      <c r="W23" s="227"/>
      <c r="X23" s="227"/>
      <c r="Y23" s="227"/>
      <c r="Z23" s="227"/>
    </row>
    <row r="24" spans="1:26" ht="12.75" customHeight="1">
      <c r="A24" s="188" t="s">
        <v>804</v>
      </c>
      <c r="B24" s="189"/>
      <c r="C24" s="189"/>
      <c r="D24" s="189"/>
      <c r="E24" s="189"/>
      <c r="F24" s="206"/>
      <c r="G24" s="172"/>
      <c r="H24" s="175" t="s">
        <v>805</v>
      </c>
      <c r="I24" s="176" t="s">
        <v>806</v>
      </c>
      <c r="J24" s="176" t="s">
        <v>255</v>
      </c>
      <c r="K24" s="176" t="s">
        <v>256</v>
      </c>
      <c r="L24" s="176" t="s">
        <v>257</v>
      </c>
      <c r="M24" s="177" t="s">
        <v>702</v>
      </c>
      <c r="N24" s="176" t="s">
        <v>703</v>
      </c>
      <c r="O24" s="226"/>
      <c r="P24" s="226"/>
      <c r="Q24" s="226"/>
      <c r="R24" s="227"/>
      <c r="S24" s="227"/>
      <c r="T24" s="227"/>
      <c r="U24" s="227"/>
      <c r="V24" s="227"/>
      <c r="W24" s="227"/>
      <c r="X24" s="227"/>
      <c r="Y24" s="227"/>
      <c r="Z24" s="227"/>
    </row>
    <row r="25" spans="1:26" ht="12.75" customHeight="1">
      <c r="A25" s="290" t="s">
        <v>807</v>
      </c>
      <c r="B25" s="291"/>
      <c r="C25" s="201"/>
      <c r="D25" s="201" t="s">
        <v>821</v>
      </c>
      <c r="E25" s="201"/>
      <c r="F25" s="205" t="s">
        <v>808</v>
      </c>
      <c r="G25" s="172"/>
      <c r="H25" s="195"/>
      <c r="I25" s="196">
        <v>0</v>
      </c>
      <c r="J25" s="196">
        <v>1</v>
      </c>
      <c r="K25" s="196">
        <v>2</v>
      </c>
      <c r="L25" s="196">
        <v>3</v>
      </c>
      <c r="M25" s="196">
        <v>4</v>
      </c>
      <c r="N25" s="234">
        <v>5</v>
      </c>
      <c r="O25" s="226"/>
      <c r="P25" s="226"/>
      <c r="Q25" s="226"/>
      <c r="R25" s="227"/>
      <c r="S25" s="227"/>
      <c r="T25" s="227"/>
      <c r="U25" s="227"/>
      <c r="V25" s="227"/>
      <c r="W25" s="227"/>
      <c r="X25" s="227"/>
      <c r="Y25" s="227"/>
      <c r="Z25" s="227"/>
    </row>
    <row r="26" spans="1:26" ht="12.75" customHeight="1">
      <c r="A26" s="282" t="s">
        <v>886</v>
      </c>
      <c r="B26" s="283"/>
      <c r="C26" s="283"/>
      <c r="D26" s="283"/>
      <c r="E26" s="281"/>
      <c r="F26" s="207"/>
      <c r="G26" s="172"/>
      <c r="H26" s="217" t="s">
        <v>882</v>
      </c>
      <c r="I26" s="153"/>
      <c r="J26" s="165">
        <f>F32*((12-F31)/12)</f>
        <v>625</v>
      </c>
      <c r="K26" s="165">
        <f>F32</f>
        <v>1250</v>
      </c>
      <c r="L26" s="165">
        <f>$F$32</f>
        <v>1250</v>
      </c>
      <c r="M26" s="165">
        <f>$F$32</f>
        <v>1250</v>
      </c>
      <c r="N26" s="235">
        <f t="shared" ref="N26" si="1">$F$32</f>
        <v>1250</v>
      </c>
      <c r="O26" s="226"/>
      <c r="P26" s="226"/>
      <c r="Q26" s="226"/>
      <c r="R26" s="227"/>
      <c r="S26" s="227"/>
      <c r="T26" s="227"/>
      <c r="U26" s="227"/>
      <c r="V26" s="227"/>
      <c r="W26" s="227"/>
      <c r="X26" s="227"/>
      <c r="Y26" s="227"/>
      <c r="Z26" s="227"/>
    </row>
    <row r="27" spans="1:26" ht="12.75" customHeight="1">
      <c r="A27" s="275" t="s">
        <v>879</v>
      </c>
      <c r="B27" s="276"/>
      <c r="C27" s="276"/>
      <c r="D27" s="276"/>
      <c r="E27" s="277"/>
      <c r="F27" s="208">
        <v>25</v>
      </c>
      <c r="G27" s="172"/>
      <c r="H27" s="217" t="s">
        <v>883</v>
      </c>
      <c r="I27" s="153"/>
      <c r="J27" s="165">
        <f>F35*((12-F36)/12)</f>
        <v>25</v>
      </c>
      <c r="K27" s="165">
        <f>F35</f>
        <v>37.5</v>
      </c>
      <c r="L27" s="165">
        <f t="shared" ref="L27:N27" si="2">$F$35</f>
        <v>37.5</v>
      </c>
      <c r="M27" s="165">
        <f t="shared" si="2"/>
        <v>37.5</v>
      </c>
      <c r="N27" s="235">
        <f t="shared" si="2"/>
        <v>37.5</v>
      </c>
      <c r="O27" s="226"/>
      <c r="P27" s="226"/>
      <c r="Q27" s="226"/>
      <c r="R27" s="227"/>
      <c r="S27" s="227"/>
      <c r="T27" s="227"/>
      <c r="U27" s="227"/>
      <c r="V27" s="227"/>
      <c r="W27" s="227"/>
      <c r="X27" s="227"/>
      <c r="Y27" s="227"/>
      <c r="Z27" s="227"/>
    </row>
    <row r="28" spans="1:26" ht="12.75" customHeight="1">
      <c r="A28" s="284" t="s">
        <v>876</v>
      </c>
      <c r="B28" s="276"/>
      <c r="C28" s="276"/>
      <c r="D28" s="276"/>
      <c r="E28" s="277"/>
      <c r="F28" s="224">
        <v>0.5</v>
      </c>
      <c r="G28" s="172"/>
      <c r="H28" s="217" t="s">
        <v>892</v>
      </c>
      <c r="I28" s="153"/>
      <c r="J28" s="165">
        <f>F41*((12-F31)/12)</f>
        <v>725</v>
      </c>
      <c r="K28" s="165">
        <f>$F$41</f>
        <v>1450</v>
      </c>
      <c r="L28" s="165">
        <f t="shared" ref="L28:N28" si="3">$F$41</f>
        <v>1450</v>
      </c>
      <c r="M28" s="165">
        <f t="shared" si="3"/>
        <v>1450</v>
      </c>
      <c r="N28" s="235">
        <f t="shared" si="3"/>
        <v>1450</v>
      </c>
      <c r="O28" s="226"/>
      <c r="P28" s="226"/>
      <c r="Q28" s="226"/>
      <c r="R28" s="227"/>
      <c r="S28" s="227"/>
      <c r="T28" s="227"/>
      <c r="U28" s="227"/>
      <c r="V28" s="227"/>
      <c r="W28" s="227"/>
      <c r="X28" s="227"/>
      <c r="Y28" s="227"/>
      <c r="Z28" s="227"/>
    </row>
    <row r="29" spans="1:26" ht="12.75" customHeight="1">
      <c r="A29" s="275" t="s">
        <v>875</v>
      </c>
      <c r="B29" s="276"/>
      <c r="C29" s="276"/>
      <c r="D29" s="276"/>
      <c r="E29" s="277"/>
      <c r="F29" s="209">
        <f>F27-F28*F27</f>
        <v>12.5</v>
      </c>
      <c r="G29" s="172"/>
      <c r="H29" s="217" t="s">
        <v>893</v>
      </c>
      <c r="I29" s="153"/>
      <c r="J29" s="165">
        <f>F44*(12-F31)/12</f>
        <v>150</v>
      </c>
      <c r="K29" s="165">
        <f>$F$44</f>
        <v>300</v>
      </c>
      <c r="L29" s="165">
        <f t="shared" ref="L29:N29" si="4">$F$44</f>
        <v>300</v>
      </c>
      <c r="M29" s="165">
        <f t="shared" si="4"/>
        <v>300</v>
      </c>
      <c r="N29" s="235">
        <f t="shared" si="4"/>
        <v>300</v>
      </c>
      <c r="O29" s="226"/>
      <c r="P29" s="226"/>
      <c r="Q29" s="226"/>
      <c r="R29" s="227"/>
      <c r="S29" s="227"/>
      <c r="T29" s="227"/>
      <c r="U29" s="227"/>
      <c r="V29" s="227"/>
      <c r="W29" s="227"/>
      <c r="X29" s="227"/>
      <c r="Y29" s="227"/>
      <c r="Z29" s="227"/>
    </row>
    <row r="30" spans="1:26" ht="12.75" customHeight="1">
      <c r="A30" s="275" t="s">
        <v>885</v>
      </c>
      <c r="B30" s="276"/>
      <c r="C30" s="276"/>
      <c r="D30" s="276"/>
      <c r="E30" s="277"/>
      <c r="F30" s="210">
        <v>100</v>
      </c>
      <c r="G30" s="172"/>
      <c r="H30" s="217" t="s">
        <v>864</v>
      </c>
      <c r="I30" s="153"/>
      <c r="J30" s="165">
        <f>F49*(12-F31)/12</f>
        <v>137.5</v>
      </c>
      <c r="K30" s="165">
        <f>$F$49</f>
        <v>275</v>
      </c>
      <c r="L30" s="165">
        <f t="shared" ref="L30:N30" si="5">$F$49</f>
        <v>275</v>
      </c>
      <c r="M30" s="165">
        <f t="shared" si="5"/>
        <v>275</v>
      </c>
      <c r="N30" s="235">
        <f t="shared" si="5"/>
        <v>275</v>
      </c>
      <c r="O30" s="226"/>
      <c r="P30" s="226"/>
      <c r="Q30" s="226"/>
      <c r="R30" s="227"/>
      <c r="S30" s="227"/>
      <c r="T30" s="227"/>
      <c r="U30" s="227"/>
      <c r="V30" s="227"/>
      <c r="W30" s="227"/>
      <c r="X30" s="227"/>
      <c r="Y30" s="227"/>
      <c r="Z30" s="227"/>
    </row>
    <row r="31" spans="1:26" ht="12.75" customHeight="1">
      <c r="A31" s="275" t="s">
        <v>878</v>
      </c>
      <c r="B31" s="276"/>
      <c r="C31" s="276"/>
      <c r="D31" s="276"/>
      <c r="E31" s="277"/>
      <c r="F31" s="208">
        <v>6</v>
      </c>
      <c r="G31" s="172"/>
      <c r="H31" s="217" t="s">
        <v>897</v>
      </c>
      <c r="I31" s="154"/>
      <c r="J31" s="165">
        <f>F53*(12-F31)/12</f>
        <v>5.0625</v>
      </c>
      <c r="K31" s="165">
        <f>$F$53</f>
        <v>10.125</v>
      </c>
      <c r="L31" s="165">
        <f t="shared" ref="L31:N31" si="6">$F$53</f>
        <v>10.125</v>
      </c>
      <c r="M31" s="165">
        <f t="shared" si="6"/>
        <v>10.125</v>
      </c>
      <c r="N31" s="235">
        <f t="shared" si="6"/>
        <v>10.125</v>
      </c>
      <c r="O31" s="226"/>
      <c r="P31" s="226"/>
      <c r="Q31" s="226"/>
      <c r="R31" s="227"/>
      <c r="S31" s="227"/>
      <c r="T31" s="227"/>
      <c r="U31" s="227"/>
      <c r="V31" s="227"/>
      <c r="W31" s="227"/>
      <c r="X31" s="227"/>
      <c r="Y31" s="227"/>
      <c r="Z31" s="227"/>
    </row>
    <row r="32" spans="1:26" ht="12.75" customHeight="1">
      <c r="A32" s="275" t="s">
        <v>877</v>
      </c>
      <c r="B32" s="276"/>
      <c r="C32" s="276"/>
      <c r="D32" s="276"/>
      <c r="E32" s="277"/>
      <c r="F32" s="211">
        <f>F29*F30</f>
        <v>1250</v>
      </c>
      <c r="G32" s="172"/>
      <c r="H32" s="221" t="s">
        <v>904</v>
      </c>
      <c r="I32" s="155"/>
      <c r="J32" s="166">
        <f>F60*(12-F31)/12</f>
        <v>1546.875</v>
      </c>
      <c r="K32" s="166">
        <f>$F60</f>
        <v>3093.75</v>
      </c>
      <c r="L32" s="166">
        <f>$F60</f>
        <v>3093.75</v>
      </c>
      <c r="M32" s="166">
        <f>$F60</f>
        <v>3093.75</v>
      </c>
      <c r="N32" s="236">
        <f>$F60</f>
        <v>3093.75</v>
      </c>
      <c r="O32" s="226"/>
      <c r="P32" s="226"/>
      <c r="Q32" s="226"/>
      <c r="R32" s="227"/>
      <c r="S32" s="227"/>
      <c r="T32" s="227"/>
      <c r="U32" s="227"/>
      <c r="V32" s="227"/>
      <c r="W32" s="227"/>
      <c r="X32" s="227"/>
      <c r="Y32" s="227"/>
      <c r="Z32" s="227"/>
    </row>
    <row r="33" spans="1:26" ht="12.75" customHeight="1">
      <c r="A33" s="275" t="s">
        <v>880</v>
      </c>
      <c r="B33" s="276"/>
      <c r="C33" s="276"/>
      <c r="D33" s="276"/>
      <c r="E33" s="277"/>
      <c r="F33" s="210">
        <v>250</v>
      </c>
      <c r="G33" s="172"/>
      <c r="H33" s="221" t="s">
        <v>905</v>
      </c>
      <c r="I33" s="155"/>
      <c r="J33" s="166">
        <f>F64*(12-F31)/12</f>
        <v>250</v>
      </c>
      <c r="K33" s="166">
        <f>$F$64</f>
        <v>500</v>
      </c>
      <c r="L33" s="166">
        <f t="shared" ref="L33:N33" si="7">$F$64</f>
        <v>500</v>
      </c>
      <c r="M33" s="166">
        <f t="shared" si="7"/>
        <v>500</v>
      </c>
      <c r="N33" s="236">
        <f t="shared" si="7"/>
        <v>500</v>
      </c>
      <c r="O33" s="226"/>
      <c r="P33" s="226"/>
      <c r="Q33" s="226"/>
      <c r="R33" s="227"/>
      <c r="S33" s="227"/>
      <c r="T33" s="227"/>
      <c r="U33" s="227"/>
      <c r="V33" s="227"/>
      <c r="W33" s="227"/>
      <c r="X33" s="227"/>
      <c r="Y33" s="227"/>
      <c r="Z33" s="227"/>
    </row>
    <row r="34" spans="1:26" ht="12.75" customHeight="1">
      <c r="A34" s="275" t="s">
        <v>881</v>
      </c>
      <c r="B34" s="276"/>
      <c r="C34" s="276"/>
      <c r="D34" s="276"/>
      <c r="E34" s="277"/>
      <c r="F34" s="212">
        <v>0.15</v>
      </c>
      <c r="G34" s="172"/>
      <c r="H34" s="221" t="s">
        <v>866</v>
      </c>
      <c r="I34" s="155"/>
      <c r="J34" s="166">
        <f>F71*(12-F31)/12</f>
        <v>468.75</v>
      </c>
      <c r="K34" s="166">
        <f>$F$71</f>
        <v>937.5</v>
      </c>
      <c r="L34" s="166">
        <f t="shared" ref="L34:N34" si="8">$F$71</f>
        <v>937.5</v>
      </c>
      <c r="M34" s="166">
        <f t="shared" si="8"/>
        <v>937.5</v>
      </c>
      <c r="N34" s="236">
        <f t="shared" si="8"/>
        <v>937.5</v>
      </c>
      <c r="O34" s="226"/>
      <c r="P34" s="226"/>
      <c r="Q34" s="226"/>
      <c r="R34" s="227"/>
      <c r="S34" s="227"/>
      <c r="T34" s="227"/>
      <c r="U34" s="227"/>
      <c r="V34" s="227"/>
      <c r="W34" s="227"/>
      <c r="X34" s="227"/>
      <c r="Y34" s="227"/>
      <c r="Z34" s="227"/>
    </row>
    <row r="35" spans="1:26" ht="12.75" customHeight="1" thickBot="1">
      <c r="A35" s="275" t="s">
        <v>877</v>
      </c>
      <c r="B35" s="276"/>
      <c r="C35" s="276"/>
      <c r="D35" s="276"/>
      <c r="E35" s="277"/>
      <c r="F35" s="211">
        <f>F33*F34</f>
        <v>37.5</v>
      </c>
      <c r="G35" s="172"/>
      <c r="H35" s="218" t="s">
        <v>905</v>
      </c>
      <c r="I35" s="194"/>
      <c r="J35" s="233">
        <f>F75*(12-F31)/12</f>
        <v>375</v>
      </c>
      <c r="K35" s="233">
        <f>$F$75</f>
        <v>750</v>
      </c>
      <c r="L35" s="233">
        <f t="shared" ref="L35:N35" si="9">$F$75</f>
        <v>750</v>
      </c>
      <c r="M35" s="233">
        <f t="shared" si="9"/>
        <v>750</v>
      </c>
      <c r="N35" s="237">
        <f t="shared" si="9"/>
        <v>750</v>
      </c>
      <c r="O35" s="226"/>
      <c r="P35" s="226"/>
      <c r="Q35" s="226"/>
      <c r="R35" s="227"/>
      <c r="S35" s="227"/>
      <c r="T35" s="227"/>
      <c r="U35" s="227"/>
      <c r="V35" s="227"/>
      <c r="W35" s="227"/>
      <c r="X35" s="227"/>
      <c r="Y35" s="227"/>
      <c r="Z35" s="227"/>
    </row>
    <row r="36" spans="1:26" ht="12.75" customHeight="1">
      <c r="A36" s="275" t="s">
        <v>878</v>
      </c>
      <c r="B36" s="276"/>
      <c r="C36" s="276"/>
      <c r="D36" s="276"/>
      <c r="E36" s="277"/>
      <c r="F36" s="208">
        <v>4</v>
      </c>
      <c r="G36" s="172"/>
      <c r="H36" s="219" t="s">
        <v>809</v>
      </c>
      <c r="I36" s="193">
        <f t="shared" ref="I36:N36" si="10">SUM(I26:I35)</f>
        <v>0</v>
      </c>
      <c r="J36" s="193">
        <f t="shared" si="10"/>
        <v>4308.1875</v>
      </c>
      <c r="K36" s="193">
        <f t="shared" si="10"/>
        <v>8603.875</v>
      </c>
      <c r="L36" s="193">
        <f t="shared" si="10"/>
        <v>8603.875</v>
      </c>
      <c r="M36" s="193">
        <f t="shared" si="10"/>
        <v>8603.875</v>
      </c>
      <c r="N36" s="238">
        <f t="shared" si="10"/>
        <v>8603.875</v>
      </c>
      <c r="O36" s="226"/>
      <c r="P36" s="226"/>
      <c r="Q36" s="226"/>
      <c r="R36" s="227"/>
      <c r="S36" s="227"/>
      <c r="T36" s="227"/>
      <c r="U36" s="227"/>
      <c r="V36" s="227"/>
      <c r="W36" s="227"/>
      <c r="X36" s="227"/>
      <c r="Y36" s="227"/>
      <c r="Z36" s="227"/>
    </row>
    <row r="37" spans="1:26" ht="12.75" customHeight="1">
      <c r="A37" s="275"/>
      <c r="B37" s="276"/>
      <c r="C37" s="276"/>
      <c r="D37" s="276"/>
      <c r="E37" s="277"/>
      <c r="F37" s="213"/>
      <c r="G37" s="172"/>
      <c r="H37" s="220" t="s">
        <v>810</v>
      </c>
      <c r="I37" s="163">
        <f t="shared" ref="I37:N37" si="11">1/(1+$I$22)^I25</f>
        <v>1</v>
      </c>
      <c r="J37" s="163">
        <f t="shared" si="11"/>
        <v>0.69046468273147832</v>
      </c>
      <c r="K37" s="163">
        <f t="shared" si="11"/>
        <v>0.47674147809948098</v>
      </c>
      <c r="L37" s="163">
        <f t="shared" si="11"/>
        <v>0.32917315342089415</v>
      </c>
      <c r="M37" s="163">
        <f t="shared" si="11"/>
        <v>0.22728243694047789</v>
      </c>
      <c r="N37" s="239">
        <f t="shared" si="11"/>
        <v>0.1569304957125443</v>
      </c>
      <c r="O37" s="226"/>
      <c r="P37" s="226"/>
      <c r="Q37" s="226"/>
      <c r="R37" s="227"/>
      <c r="S37" s="227"/>
      <c r="T37" s="227"/>
      <c r="U37" s="227"/>
      <c r="V37" s="227"/>
      <c r="W37" s="227"/>
      <c r="X37" s="227"/>
      <c r="Y37" s="227"/>
      <c r="Z37" s="227"/>
    </row>
    <row r="38" spans="1:26" ht="12.75" customHeight="1">
      <c r="A38" s="282" t="s">
        <v>887</v>
      </c>
      <c r="B38" s="283"/>
      <c r="C38" s="283"/>
      <c r="D38" s="283"/>
      <c r="E38" s="281"/>
      <c r="F38" s="207"/>
      <c r="G38" s="172"/>
      <c r="H38" s="220" t="s">
        <v>811</v>
      </c>
      <c r="I38" s="164">
        <f t="shared" ref="I38:N38" si="12">I36*I37</f>
        <v>0</v>
      </c>
      <c r="J38" s="164">
        <f t="shared" si="12"/>
        <v>2974.6513153352207</v>
      </c>
      <c r="K38" s="164">
        <f t="shared" si="12"/>
        <v>4101.824084883172</v>
      </c>
      <c r="L38" s="164">
        <f t="shared" si="12"/>
        <v>2832.1646653891958</v>
      </c>
      <c r="M38" s="164">
        <f t="shared" si="12"/>
        <v>1955.5096771312542</v>
      </c>
      <c r="N38" s="240">
        <f t="shared" si="12"/>
        <v>1350.2103687987671</v>
      </c>
      <c r="O38" s="226"/>
      <c r="P38" s="226"/>
      <c r="Q38" s="226"/>
      <c r="R38" s="227"/>
      <c r="S38" s="227"/>
      <c r="T38" s="227"/>
      <c r="U38" s="227"/>
      <c r="V38" s="227"/>
      <c r="W38" s="227"/>
      <c r="X38" s="227"/>
      <c r="Y38" s="227"/>
      <c r="Z38" s="227"/>
    </row>
    <row r="39" spans="1:26" ht="12.75" customHeight="1">
      <c r="A39" s="275" t="s">
        <v>888</v>
      </c>
      <c r="B39" s="276"/>
      <c r="C39" s="276"/>
      <c r="D39" s="276"/>
      <c r="E39" s="277"/>
      <c r="F39" s="208">
        <v>2500</v>
      </c>
      <c r="G39" s="172"/>
      <c r="H39" s="156"/>
      <c r="I39" s="157"/>
      <c r="J39" s="157"/>
      <c r="K39" s="157"/>
      <c r="L39" s="157"/>
      <c r="M39" s="157"/>
      <c r="N39" s="157"/>
      <c r="O39" s="226"/>
      <c r="P39" s="226"/>
      <c r="Q39" s="226"/>
      <c r="R39" s="227"/>
      <c r="S39" s="227"/>
      <c r="T39" s="227"/>
      <c r="U39" s="227"/>
      <c r="V39" s="227"/>
      <c r="W39" s="227"/>
      <c r="X39" s="227"/>
      <c r="Y39" s="227"/>
      <c r="Z39" s="227"/>
    </row>
    <row r="40" spans="1:26" ht="12.75" customHeight="1">
      <c r="A40" s="275" t="s">
        <v>889</v>
      </c>
      <c r="B40" s="276"/>
      <c r="C40" s="276"/>
      <c r="D40" s="276"/>
      <c r="E40" s="277"/>
      <c r="F40" s="210">
        <f>F81+F82</f>
        <v>1050</v>
      </c>
      <c r="G40" s="172"/>
      <c r="H40" s="200" t="s">
        <v>812</v>
      </c>
      <c r="I40" s="176" t="s">
        <v>806</v>
      </c>
      <c r="J40" s="176" t="s">
        <v>255</v>
      </c>
      <c r="K40" s="176" t="s">
        <v>256</v>
      </c>
      <c r="L40" s="176" t="s">
        <v>257</v>
      </c>
      <c r="M40" s="177" t="s">
        <v>702</v>
      </c>
      <c r="N40" s="176" t="s">
        <v>703</v>
      </c>
      <c r="O40" s="226"/>
      <c r="P40" s="226"/>
      <c r="Q40" s="226"/>
      <c r="R40" s="227"/>
      <c r="S40" s="227"/>
      <c r="T40" s="227"/>
      <c r="U40" s="227"/>
      <c r="V40" s="227"/>
      <c r="W40" s="227"/>
      <c r="X40" s="227"/>
      <c r="Y40" s="227"/>
      <c r="Z40" s="227"/>
    </row>
    <row r="41" spans="1:26" ht="12.75" customHeight="1">
      <c r="A41" s="275" t="s">
        <v>877</v>
      </c>
      <c r="B41" s="276"/>
      <c r="C41" s="276"/>
      <c r="D41" s="276"/>
      <c r="E41" s="277"/>
      <c r="F41" s="211">
        <f>F39-F40</f>
        <v>1450</v>
      </c>
      <c r="G41" s="172"/>
      <c r="H41" s="217" t="s">
        <v>870</v>
      </c>
      <c r="I41" s="165">
        <f>F78+F83</f>
        <v>160</v>
      </c>
      <c r="J41" s="165"/>
      <c r="K41" s="165"/>
      <c r="L41" s="165"/>
      <c r="M41" s="165"/>
      <c r="N41" s="235"/>
      <c r="O41" s="226"/>
      <c r="P41" s="226"/>
      <c r="Q41" s="226"/>
      <c r="R41" s="227"/>
      <c r="S41" s="227"/>
      <c r="T41" s="227"/>
      <c r="U41" s="227"/>
      <c r="V41" s="227"/>
      <c r="W41" s="227"/>
      <c r="X41" s="227"/>
      <c r="Y41" s="227"/>
      <c r="Z41" s="227"/>
    </row>
    <row r="42" spans="1:26" ht="12.75" customHeight="1">
      <c r="A42" s="275" t="s">
        <v>890</v>
      </c>
      <c r="B42" s="276"/>
      <c r="C42" s="276"/>
      <c r="D42" s="276"/>
      <c r="E42" s="277"/>
      <c r="F42" s="210">
        <v>75</v>
      </c>
      <c r="G42" s="172"/>
      <c r="H42" s="217" t="s">
        <v>871</v>
      </c>
      <c r="I42" s="165">
        <f>F81+F82</f>
        <v>1050</v>
      </c>
      <c r="J42" s="165"/>
      <c r="K42" s="165"/>
      <c r="L42" s="165"/>
      <c r="M42" s="165"/>
      <c r="N42" s="235"/>
      <c r="O42" s="226"/>
      <c r="P42" s="226"/>
      <c r="Q42" s="226"/>
      <c r="R42" s="227"/>
      <c r="S42" s="227"/>
      <c r="T42" s="227"/>
      <c r="U42" s="227"/>
      <c r="V42" s="227"/>
      <c r="W42" s="227"/>
      <c r="X42" s="227"/>
      <c r="Y42" s="227"/>
      <c r="Z42" s="227"/>
    </row>
    <row r="43" spans="1:26" ht="12.75" customHeight="1">
      <c r="A43" s="275" t="s">
        <v>891</v>
      </c>
      <c r="B43" s="276"/>
      <c r="C43" s="276"/>
      <c r="D43" s="276"/>
      <c r="E43" s="277"/>
      <c r="F43" s="208">
        <v>4</v>
      </c>
      <c r="G43" s="172"/>
      <c r="H43" s="190" t="str">
        <f>A79</f>
        <v>Project management</v>
      </c>
      <c r="I43" s="165">
        <f>F79</f>
        <v>150</v>
      </c>
      <c r="J43" s="165"/>
      <c r="K43" s="165"/>
      <c r="L43" s="165"/>
      <c r="M43" s="165"/>
      <c r="N43" s="235"/>
      <c r="O43" s="226"/>
      <c r="P43" s="226"/>
      <c r="Q43" s="226"/>
      <c r="R43" s="227"/>
      <c r="S43" s="227"/>
      <c r="T43" s="227"/>
      <c r="U43" s="227"/>
      <c r="V43" s="227"/>
      <c r="W43" s="227"/>
      <c r="X43" s="227"/>
      <c r="Y43" s="227"/>
      <c r="Z43" s="227"/>
    </row>
    <row r="44" spans="1:26" ht="12.75" customHeight="1">
      <c r="A44" s="275" t="s">
        <v>877</v>
      </c>
      <c r="B44" s="276"/>
      <c r="C44" s="276"/>
      <c r="D44" s="276"/>
      <c r="E44" s="277"/>
      <c r="F44" s="211">
        <f>F42*F43</f>
        <v>300</v>
      </c>
      <c r="G44" s="172"/>
      <c r="H44" s="217" t="str">
        <f>A80</f>
        <v>Professional services</v>
      </c>
      <c r="I44" s="165">
        <f>F80</f>
        <v>230</v>
      </c>
      <c r="J44" s="165"/>
      <c r="K44" s="165"/>
      <c r="L44" s="165"/>
      <c r="M44" s="165"/>
      <c r="N44" s="235"/>
      <c r="O44" s="226"/>
      <c r="P44" s="226"/>
      <c r="Q44" s="226"/>
      <c r="R44" s="227"/>
      <c r="S44" s="227"/>
      <c r="T44" s="227"/>
      <c r="U44" s="227"/>
      <c r="V44" s="227"/>
      <c r="W44" s="227"/>
      <c r="X44" s="227"/>
      <c r="Y44" s="227"/>
      <c r="Z44" s="227"/>
    </row>
    <row r="45" spans="1:26" ht="12.75" customHeight="1">
      <c r="A45" s="275"/>
      <c r="B45" s="276"/>
      <c r="C45" s="276"/>
      <c r="D45" s="276"/>
      <c r="E45" s="277"/>
      <c r="F45" s="213"/>
      <c r="G45" s="172"/>
      <c r="H45" s="217" t="str">
        <f>A84</f>
        <v>Managed services</v>
      </c>
      <c r="I45" s="165">
        <f>F84</f>
        <v>80</v>
      </c>
      <c r="J45" s="165">
        <f>$F$84</f>
        <v>80</v>
      </c>
      <c r="K45" s="165">
        <f>$F$84</f>
        <v>80</v>
      </c>
      <c r="L45" s="165">
        <f>$F$84</f>
        <v>80</v>
      </c>
      <c r="M45" s="165">
        <f>$F$84</f>
        <v>80</v>
      </c>
      <c r="N45" s="235">
        <f>$F$84</f>
        <v>80</v>
      </c>
      <c r="O45" s="226"/>
      <c r="P45" s="226"/>
      <c r="Q45" s="226"/>
      <c r="R45" s="227"/>
      <c r="S45" s="227"/>
      <c r="T45" s="227"/>
      <c r="U45" s="227"/>
      <c r="V45" s="227"/>
      <c r="W45" s="227"/>
      <c r="X45" s="227"/>
      <c r="Y45" s="227"/>
      <c r="Z45" s="227"/>
    </row>
    <row r="46" spans="1:26" ht="13.5" customHeight="1">
      <c r="A46" s="282" t="s">
        <v>864</v>
      </c>
      <c r="B46" s="283"/>
      <c r="C46" s="283"/>
      <c r="D46" s="283"/>
      <c r="E46" s="281"/>
      <c r="F46" s="207"/>
      <c r="G46" s="172"/>
      <c r="H46" s="217" t="str">
        <f>A85</f>
        <v>Change management</v>
      </c>
      <c r="I46" s="165">
        <f>F85</f>
        <v>150</v>
      </c>
      <c r="J46" s="165"/>
      <c r="K46" s="165"/>
      <c r="L46" s="165"/>
      <c r="M46" s="165"/>
      <c r="N46" s="235"/>
      <c r="O46" s="226"/>
      <c r="P46" s="226"/>
      <c r="Q46" s="226"/>
      <c r="R46" s="227"/>
      <c r="S46" s="227"/>
      <c r="T46" s="227"/>
      <c r="U46" s="227"/>
      <c r="V46" s="227"/>
      <c r="W46" s="227"/>
      <c r="X46" s="227"/>
      <c r="Y46" s="227"/>
      <c r="Z46" s="227"/>
    </row>
    <row r="47" spans="1:26" ht="13.5" customHeight="1">
      <c r="A47" s="275" t="s">
        <v>894</v>
      </c>
      <c r="B47" s="276"/>
      <c r="C47" s="276"/>
      <c r="D47" s="276"/>
      <c r="E47" s="277"/>
      <c r="F47" s="210">
        <v>500</v>
      </c>
      <c r="G47" s="172"/>
      <c r="H47" s="217" t="str">
        <f>A87</f>
        <v>Redundancy costs</v>
      </c>
      <c r="I47" s="165"/>
      <c r="J47" s="165">
        <f>F90</f>
        <v>702.53125</v>
      </c>
      <c r="K47" s="165"/>
      <c r="L47" s="165"/>
      <c r="M47" s="165"/>
      <c r="N47" s="235"/>
      <c r="O47" s="226"/>
      <c r="P47" s="226"/>
      <c r="Q47" s="226"/>
      <c r="R47" s="227"/>
      <c r="S47" s="227"/>
      <c r="T47" s="227"/>
      <c r="U47" s="227"/>
      <c r="V47" s="227"/>
      <c r="W47" s="227"/>
      <c r="X47" s="227"/>
      <c r="Y47" s="227"/>
      <c r="Z47" s="227"/>
    </row>
    <row r="48" spans="1:26" ht="12.75" customHeight="1" thickBot="1">
      <c r="A48" s="275" t="s">
        <v>895</v>
      </c>
      <c r="B48" s="276"/>
      <c r="C48" s="276"/>
      <c r="D48" s="276"/>
      <c r="E48" s="277"/>
      <c r="F48" s="212">
        <v>0.45</v>
      </c>
      <c r="G48" s="172"/>
      <c r="H48" s="221"/>
      <c r="I48" s="166"/>
      <c r="J48" s="166"/>
      <c r="K48" s="166"/>
      <c r="L48" s="166"/>
      <c r="M48" s="166"/>
      <c r="N48" s="236"/>
      <c r="O48" s="226"/>
      <c r="P48" s="226"/>
      <c r="Q48" s="226"/>
      <c r="R48" s="227"/>
      <c r="S48" s="227"/>
      <c r="T48" s="227"/>
      <c r="U48" s="227"/>
      <c r="V48" s="227"/>
      <c r="W48" s="227"/>
      <c r="X48" s="227"/>
      <c r="Y48" s="227"/>
      <c r="Z48" s="227"/>
    </row>
    <row r="49" spans="1:26" ht="12.75" customHeight="1" thickTop="1">
      <c r="A49" s="275" t="s">
        <v>864</v>
      </c>
      <c r="B49" s="276"/>
      <c r="C49" s="276"/>
      <c r="D49" s="276"/>
      <c r="E49" s="277"/>
      <c r="F49" s="211">
        <f>F47*(1-F48)</f>
        <v>275</v>
      </c>
      <c r="G49" s="172"/>
      <c r="H49" s="222" t="s">
        <v>813</v>
      </c>
      <c r="I49" s="162">
        <f t="shared" ref="I49:N49" si="13">SUM(I41:I48)</f>
        <v>1820</v>
      </c>
      <c r="J49" s="162">
        <f t="shared" si="13"/>
        <v>782.53125</v>
      </c>
      <c r="K49" s="162">
        <f t="shared" si="13"/>
        <v>80</v>
      </c>
      <c r="L49" s="162">
        <f t="shared" si="13"/>
        <v>80</v>
      </c>
      <c r="M49" s="162">
        <f t="shared" si="13"/>
        <v>80</v>
      </c>
      <c r="N49" s="241">
        <f t="shared" si="13"/>
        <v>80</v>
      </c>
      <c r="O49" s="226"/>
      <c r="P49" s="226"/>
      <c r="Q49" s="226"/>
      <c r="R49" s="227"/>
      <c r="S49" s="227"/>
      <c r="T49" s="227"/>
      <c r="U49" s="227"/>
      <c r="V49" s="227"/>
      <c r="W49" s="227"/>
      <c r="X49" s="227"/>
      <c r="Y49" s="227"/>
      <c r="Z49" s="227"/>
    </row>
    <row r="50" spans="1:26" ht="12.75" customHeight="1">
      <c r="A50" s="275" t="s">
        <v>909</v>
      </c>
      <c r="B50" s="276"/>
      <c r="C50" s="276"/>
      <c r="D50" s="276"/>
      <c r="E50" s="277"/>
      <c r="F50" s="228">
        <v>50</v>
      </c>
      <c r="G50" s="172"/>
      <c r="H50" s="220" t="s">
        <v>810</v>
      </c>
      <c r="I50" s="163">
        <f t="shared" ref="I50:N50" si="14">1/(1+$I$20)^I25</f>
        <v>1</v>
      </c>
      <c r="J50" s="163">
        <f t="shared" si="14"/>
        <v>0.94339622641509424</v>
      </c>
      <c r="K50" s="163">
        <f t="shared" si="14"/>
        <v>0.88999644001423983</v>
      </c>
      <c r="L50" s="163">
        <f t="shared" si="14"/>
        <v>0.8396192830323016</v>
      </c>
      <c r="M50" s="163">
        <f t="shared" si="14"/>
        <v>0.79209366323802044</v>
      </c>
      <c r="N50" s="239">
        <f t="shared" si="14"/>
        <v>0.74725817286605689</v>
      </c>
      <c r="O50" s="226"/>
      <c r="P50" s="226"/>
      <c r="Q50" s="226"/>
      <c r="R50" s="227"/>
      <c r="S50" s="227"/>
      <c r="T50" s="227"/>
      <c r="U50" s="227"/>
      <c r="V50" s="227"/>
      <c r="W50" s="227"/>
      <c r="X50" s="227"/>
      <c r="Y50" s="227"/>
      <c r="Z50" s="227"/>
    </row>
    <row r="51" spans="1:26" ht="12.75" customHeight="1">
      <c r="A51" s="275" t="s">
        <v>916</v>
      </c>
      <c r="B51" s="278"/>
      <c r="C51" s="278"/>
      <c r="D51" s="278"/>
      <c r="E51" s="279"/>
      <c r="F51" s="208">
        <v>5</v>
      </c>
      <c r="G51" s="172"/>
      <c r="H51" s="220" t="s">
        <v>811</v>
      </c>
      <c r="I51" s="164">
        <f t="shared" ref="I51:N51" si="15">I50*I49</f>
        <v>1820</v>
      </c>
      <c r="J51" s="164">
        <f t="shared" si="15"/>
        <v>738.23702830188677</v>
      </c>
      <c r="K51" s="164">
        <f t="shared" si="15"/>
        <v>71.199715201139185</v>
      </c>
      <c r="L51" s="164">
        <f t="shared" si="15"/>
        <v>67.169542642584133</v>
      </c>
      <c r="M51" s="164">
        <f t="shared" si="15"/>
        <v>63.367493059041635</v>
      </c>
      <c r="N51" s="240">
        <f t="shared" si="15"/>
        <v>59.780653829284553</v>
      </c>
      <c r="O51" s="226"/>
      <c r="P51" s="226"/>
      <c r="Q51" s="226"/>
      <c r="R51" s="227"/>
      <c r="S51" s="227"/>
      <c r="T51" s="227"/>
      <c r="U51" s="227"/>
      <c r="V51" s="227"/>
      <c r="W51" s="227"/>
      <c r="X51" s="227"/>
      <c r="Y51" s="227"/>
      <c r="Z51" s="227"/>
    </row>
    <row r="52" spans="1:26" ht="12.75" customHeight="1">
      <c r="A52" s="275" t="s">
        <v>912</v>
      </c>
      <c r="B52" s="276"/>
      <c r="C52" s="276"/>
      <c r="D52" s="276"/>
      <c r="E52" s="277"/>
      <c r="F52" s="244">
        <f>+F48</f>
        <v>0.45</v>
      </c>
      <c r="G52" s="172"/>
      <c r="H52" s="149"/>
      <c r="I52" s="158"/>
      <c r="J52" s="158"/>
      <c r="K52" s="158"/>
      <c r="L52" s="158"/>
      <c r="M52" s="158"/>
      <c r="N52" s="158"/>
      <c r="O52" s="226"/>
      <c r="P52" s="226"/>
      <c r="Q52" s="226"/>
      <c r="R52" s="227"/>
      <c r="S52" s="227"/>
      <c r="T52" s="227"/>
      <c r="U52" s="227"/>
      <c r="V52" s="227"/>
      <c r="W52" s="227"/>
      <c r="X52" s="227"/>
      <c r="Y52" s="227"/>
      <c r="Z52" s="227"/>
    </row>
    <row r="53" spans="1:26" ht="12.75" customHeight="1">
      <c r="A53" s="275" t="s">
        <v>896</v>
      </c>
      <c r="B53" s="276"/>
      <c r="C53" s="276"/>
      <c r="D53" s="276"/>
      <c r="E53" s="277"/>
      <c r="F53" s="229">
        <f>F50*F52*F48</f>
        <v>10.125</v>
      </c>
      <c r="G53" s="174"/>
      <c r="H53" s="220" t="s">
        <v>814</v>
      </c>
      <c r="I53" s="161">
        <f t="shared" ref="I53:N53" si="16">I38-I51</f>
        <v>-1820</v>
      </c>
      <c r="J53" s="161">
        <f t="shared" si="16"/>
        <v>2236.4142870333339</v>
      </c>
      <c r="K53" s="161">
        <f t="shared" si="16"/>
        <v>4030.6243696820329</v>
      </c>
      <c r="L53" s="161">
        <f t="shared" si="16"/>
        <v>2764.9951227466117</v>
      </c>
      <c r="M53" s="161">
        <f t="shared" si="16"/>
        <v>1892.1421840722126</v>
      </c>
      <c r="N53" s="242">
        <f t="shared" si="16"/>
        <v>1290.4297149694826</v>
      </c>
      <c r="O53" s="227"/>
      <c r="P53" s="227"/>
      <c r="Q53" s="227"/>
      <c r="R53" s="227"/>
      <c r="S53" s="227"/>
      <c r="T53" s="227"/>
      <c r="U53" s="227"/>
      <c r="V53" s="227"/>
      <c r="W53" s="227"/>
      <c r="X53" s="227"/>
      <c r="Y53" s="227"/>
      <c r="Z53" s="227"/>
    </row>
    <row r="54" spans="1:26" ht="12.75" customHeight="1">
      <c r="A54" s="275"/>
      <c r="B54" s="276"/>
      <c r="C54" s="276"/>
      <c r="D54" s="276"/>
      <c r="E54" s="277"/>
      <c r="F54" s="213"/>
      <c r="G54" s="174"/>
      <c r="H54" s="217"/>
      <c r="I54" s="154"/>
      <c r="J54" s="154"/>
      <c r="K54" s="154"/>
      <c r="L54" s="154"/>
      <c r="M54" s="154"/>
      <c r="N54" s="243"/>
      <c r="O54" s="227"/>
      <c r="P54" s="227"/>
      <c r="Q54" s="227"/>
      <c r="R54" s="227"/>
      <c r="S54" s="227"/>
      <c r="T54" s="227"/>
      <c r="U54" s="227"/>
      <c r="V54" s="227"/>
      <c r="W54" s="227"/>
      <c r="X54" s="227"/>
      <c r="Y54" s="227"/>
      <c r="Z54" s="227"/>
    </row>
    <row r="55" spans="1:26" ht="12.75" customHeight="1">
      <c r="A55" s="282" t="s">
        <v>865</v>
      </c>
      <c r="B55" s="283"/>
      <c r="C55" s="283"/>
      <c r="D55" s="283"/>
      <c r="E55" s="281"/>
      <c r="F55" s="216"/>
      <c r="G55" s="174"/>
      <c r="H55" s="223" t="s">
        <v>815</v>
      </c>
      <c r="I55" s="160">
        <f>SUM(I53:N53)</f>
        <v>10394.605678503674</v>
      </c>
      <c r="J55" s="159"/>
      <c r="K55" s="159"/>
      <c r="L55" s="159"/>
      <c r="M55" s="159"/>
      <c r="N55" s="150"/>
      <c r="O55" s="227"/>
      <c r="P55" s="227"/>
      <c r="Q55" s="227"/>
      <c r="R55" s="227"/>
      <c r="S55" s="227"/>
      <c r="T55" s="227"/>
      <c r="U55" s="227"/>
      <c r="V55" s="227"/>
      <c r="W55" s="227"/>
      <c r="X55" s="227"/>
      <c r="Y55" s="227"/>
      <c r="Z55" s="227"/>
    </row>
    <row r="56" spans="1:26" ht="12.75" customHeight="1">
      <c r="A56" s="275" t="s">
        <v>899</v>
      </c>
      <c r="B56" s="276"/>
      <c r="C56" s="276"/>
      <c r="D56" s="276"/>
      <c r="E56" s="277"/>
      <c r="F56" s="210">
        <v>150</v>
      </c>
      <c r="G56" s="174"/>
      <c r="H56" s="223" t="s">
        <v>816</v>
      </c>
      <c r="I56" s="160">
        <f>SUM(I53:M53)</f>
        <v>9104.1759635341914</v>
      </c>
      <c r="J56" s="159"/>
      <c r="K56" s="159"/>
      <c r="L56" s="159"/>
      <c r="M56" s="159"/>
      <c r="N56" s="150"/>
      <c r="O56" s="227"/>
      <c r="P56" s="227"/>
      <c r="Q56" s="227"/>
      <c r="R56" s="227"/>
      <c r="S56" s="227"/>
      <c r="T56" s="227"/>
      <c r="U56" s="227"/>
      <c r="V56" s="227"/>
      <c r="W56" s="227"/>
      <c r="X56" s="227"/>
      <c r="Y56" s="227"/>
      <c r="Z56" s="227"/>
    </row>
    <row r="57" spans="1:26" ht="12.75" customHeight="1">
      <c r="A57" s="275" t="s">
        <v>898</v>
      </c>
      <c r="B57" s="276"/>
      <c r="C57" s="276"/>
      <c r="D57" s="276"/>
      <c r="E57" s="277"/>
      <c r="F57" s="208">
        <v>250</v>
      </c>
      <c r="G57" s="174"/>
      <c r="H57" s="223" t="s">
        <v>817</v>
      </c>
      <c r="I57" s="160">
        <f>SUM(I53:L53)</f>
        <v>7212.0337794619791</v>
      </c>
      <c r="J57" s="159"/>
      <c r="K57" s="159"/>
      <c r="L57" s="159"/>
      <c r="M57" s="159"/>
      <c r="N57" s="150"/>
      <c r="O57" s="227"/>
      <c r="P57" s="227"/>
      <c r="Q57" s="227"/>
      <c r="R57" s="227"/>
      <c r="S57" s="227"/>
      <c r="T57" s="227"/>
      <c r="U57" s="227"/>
      <c r="V57" s="227"/>
      <c r="W57" s="227"/>
      <c r="X57" s="227"/>
      <c r="Y57" s="227"/>
      <c r="Z57" s="227"/>
    </row>
    <row r="58" spans="1:26" ht="12.75" customHeight="1">
      <c r="A58" s="275" t="s">
        <v>900</v>
      </c>
      <c r="B58" s="278"/>
      <c r="C58" s="278"/>
      <c r="D58" s="278"/>
      <c r="E58" s="279"/>
      <c r="F58" s="230">
        <v>0.33</v>
      </c>
      <c r="G58" s="174"/>
      <c r="H58" s="174"/>
      <c r="I58" s="191"/>
      <c r="J58" s="174"/>
      <c r="K58" s="174"/>
      <c r="L58" s="174"/>
      <c r="M58" s="174"/>
      <c r="N58" s="174"/>
      <c r="O58" s="227"/>
      <c r="P58" s="227"/>
      <c r="Q58" s="227"/>
      <c r="R58" s="227"/>
      <c r="S58" s="227"/>
      <c r="T58" s="227"/>
      <c r="U58" s="227"/>
      <c r="V58" s="227"/>
      <c r="W58" s="227"/>
      <c r="X58" s="227"/>
      <c r="Y58" s="227"/>
      <c r="Z58" s="227"/>
    </row>
    <row r="59" spans="1:26" ht="12.75" customHeight="1">
      <c r="A59" s="275" t="s">
        <v>901</v>
      </c>
      <c r="B59" s="276"/>
      <c r="C59" s="276"/>
      <c r="D59" s="276"/>
      <c r="E59" s="277"/>
      <c r="F59" s="231">
        <v>0.25</v>
      </c>
      <c r="G59" s="174"/>
      <c r="H59" s="174"/>
      <c r="I59" s="174"/>
      <c r="J59" s="174"/>
      <c r="K59" s="174"/>
      <c r="L59" s="174"/>
      <c r="M59" s="174"/>
      <c r="N59" s="174"/>
      <c r="O59" s="227"/>
      <c r="P59" s="227"/>
      <c r="Q59" s="227"/>
      <c r="R59" s="227"/>
      <c r="S59" s="227"/>
      <c r="T59" s="227"/>
      <c r="U59" s="227"/>
      <c r="V59" s="227"/>
      <c r="W59" s="227"/>
      <c r="X59" s="227"/>
      <c r="Y59" s="227"/>
      <c r="Z59" s="227"/>
    </row>
    <row r="60" spans="1:26" ht="12.75" customHeight="1">
      <c r="A60" s="275" t="s">
        <v>902</v>
      </c>
      <c r="B60" s="278"/>
      <c r="C60" s="278"/>
      <c r="D60" s="278"/>
      <c r="E60" s="279"/>
      <c r="F60" s="211">
        <f>F56*F57*F58*F59</f>
        <v>3093.75</v>
      </c>
      <c r="G60" s="174"/>
      <c r="H60" s="174"/>
      <c r="I60" s="174"/>
      <c r="J60" s="174"/>
      <c r="K60" s="174"/>
      <c r="L60" s="174"/>
      <c r="M60" s="174"/>
      <c r="N60" s="174"/>
      <c r="O60" s="227"/>
      <c r="P60" s="227"/>
      <c r="Q60" s="227"/>
      <c r="R60" s="227"/>
      <c r="S60" s="227"/>
      <c r="T60" s="227"/>
      <c r="U60" s="227"/>
      <c r="V60" s="227"/>
      <c r="W60" s="227"/>
      <c r="X60" s="227"/>
      <c r="Y60" s="227"/>
      <c r="Z60" s="227"/>
    </row>
    <row r="61" spans="1:26" ht="12.75" customHeight="1">
      <c r="A61" s="275" t="s">
        <v>910</v>
      </c>
      <c r="B61" s="276"/>
      <c r="C61" s="276"/>
      <c r="D61" s="276"/>
      <c r="E61" s="277"/>
      <c r="F61" s="210">
        <v>250</v>
      </c>
      <c r="G61" s="174"/>
      <c r="H61" s="174"/>
      <c r="I61" s="174"/>
      <c r="J61" s="174"/>
      <c r="K61" s="174"/>
      <c r="L61" s="174"/>
      <c r="M61" s="174"/>
      <c r="N61" s="174"/>
      <c r="O61" s="227"/>
      <c r="P61" s="227"/>
      <c r="Q61" s="227"/>
      <c r="R61" s="227"/>
      <c r="S61" s="227"/>
      <c r="T61" s="227"/>
      <c r="U61" s="227"/>
      <c r="V61" s="227"/>
      <c r="W61" s="227"/>
      <c r="X61" s="227"/>
      <c r="Y61" s="227"/>
      <c r="Z61" s="227"/>
    </row>
    <row r="62" spans="1:26" ht="12.75" customHeight="1">
      <c r="A62" s="275" t="s">
        <v>913</v>
      </c>
      <c r="B62" s="278"/>
      <c r="C62" s="278"/>
      <c r="D62" s="278"/>
      <c r="E62" s="279"/>
      <c r="F62" s="232">
        <v>15</v>
      </c>
      <c r="G62" s="174"/>
      <c r="H62" s="174"/>
      <c r="I62" s="174"/>
      <c r="J62" s="174"/>
      <c r="K62" s="174"/>
      <c r="L62" s="174"/>
      <c r="M62" s="174"/>
      <c r="N62" s="174"/>
      <c r="O62" s="227"/>
      <c r="P62" s="227"/>
      <c r="Q62" s="227"/>
      <c r="R62" s="227"/>
      <c r="S62" s="227"/>
      <c r="T62" s="227"/>
      <c r="U62" s="227"/>
      <c r="V62" s="227"/>
      <c r="W62" s="227"/>
      <c r="X62" s="227"/>
      <c r="Y62" s="227"/>
      <c r="Z62" s="227"/>
    </row>
    <row r="63" spans="1:26" ht="12.75" customHeight="1">
      <c r="A63" s="275" t="s">
        <v>881</v>
      </c>
      <c r="B63" s="276"/>
      <c r="C63" s="276"/>
      <c r="D63" s="276"/>
      <c r="E63" s="277"/>
      <c r="F63" s="232">
        <v>2</v>
      </c>
      <c r="G63" s="174"/>
      <c r="H63" s="174"/>
      <c r="I63" s="174"/>
      <c r="J63" s="174"/>
      <c r="K63" s="174"/>
      <c r="L63" s="174"/>
      <c r="M63" s="174"/>
      <c r="N63" s="174"/>
      <c r="O63" s="227"/>
      <c r="P63" s="227"/>
      <c r="Q63" s="227"/>
      <c r="R63" s="227"/>
      <c r="S63" s="227"/>
      <c r="T63" s="227"/>
      <c r="U63" s="227"/>
      <c r="V63" s="227"/>
      <c r="W63" s="227"/>
      <c r="X63" s="227"/>
      <c r="Y63" s="227"/>
      <c r="Z63" s="227"/>
    </row>
    <row r="64" spans="1:26" ht="12.75" customHeight="1">
      <c r="A64" s="275" t="s">
        <v>903</v>
      </c>
      <c r="B64" s="276"/>
      <c r="C64" s="276"/>
      <c r="D64" s="276"/>
      <c r="E64" s="277"/>
      <c r="F64" s="211">
        <f>F63*F61</f>
        <v>500</v>
      </c>
      <c r="G64" s="174"/>
      <c r="H64" s="174"/>
      <c r="I64" s="174"/>
      <c r="J64" s="174"/>
      <c r="K64" s="174"/>
      <c r="L64" s="174"/>
      <c r="M64" s="174"/>
      <c r="N64" s="174"/>
      <c r="O64" s="227"/>
      <c r="P64" s="227"/>
      <c r="Q64" s="227"/>
      <c r="R64" s="227"/>
      <c r="S64" s="227"/>
      <c r="T64" s="227"/>
      <c r="U64" s="227"/>
      <c r="V64" s="227"/>
      <c r="W64" s="227"/>
      <c r="X64" s="227"/>
      <c r="Y64" s="227"/>
      <c r="Z64" s="227"/>
    </row>
    <row r="65" spans="1:26" ht="12.75" customHeight="1">
      <c r="A65" s="275"/>
      <c r="B65" s="276"/>
      <c r="C65" s="276"/>
      <c r="D65" s="276"/>
      <c r="E65" s="277"/>
      <c r="F65" s="213"/>
      <c r="G65" s="174"/>
      <c r="H65" s="174"/>
      <c r="I65" s="174"/>
      <c r="J65" s="174"/>
      <c r="K65" s="174"/>
      <c r="L65" s="174"/>
      <c r="M65" s="174"/>
      <c r="N65" s="174"/>
      <c r="O65" s="227"/>
      <c r="P65" s="227"/>
      <c r="Q65" s="227"/>
      <c r="R65" s="227"/>
      <c r="S65" s="227"/>
      <c r="T65" s="227"/>
      <c r="U65" s="227"/>
      <c r="V65" s="227"/>
      <c r="W65" s="227"/>
      <c r="X65" s="227"/>
      <c r="Y65" s="227"/>
      <c r="Z65" s="227"/>
    </row>
    <row r="66" spans="1:26" ht="12.75" customHeight="1">
      <c r="A66" s="282" t="s">
        <v>866</v>
      </c>
      <c r="B66" s="283"/>
      <c r="C66" s="283"/>
      <c r="D66" s="283"/>
      <c r="E66" s="281"/>
      <c r="F66" s="216"/>
      <c r="G66" s="174"/>
      <c r="H66" s="174"/>
      <c r="I66" s="174"/>
      <c r="J66" s="174"/>
      <c r="K66" s="174"/>
      <c r="L66" s="174"/>
      <c r="M66" s="174"/>
      <c r="N66" s="174"/>
      <c r="O66" s="227"/>
      <c r="P66" s="227"/>
      <c r="Q66" s="227"/>
      <c r="R66" s="227"/>
      <c r="S66" s="227"/>
      <c r="T66" s="227"/>
      <c r="U66" s="227"/>
      <c r="V66" s="227"/>
      <c r="W66" s="227"/>
      <c r="X66" s="227"/>
      <c r="Y66" s="227"/>
      <c r="Z66" s="227"/>
    </row>
    <row r="67" spans="1:26" ht="12.75" customHeight="1">
      <c r="A67" s="275" t="s">
        <v>906</v>
      </c>
      <c r="B67" s="276"/>
      <c r="C67" s="276"/>
      <c r="D67" s="276"/>
      <c r="E67" s="277"/>
      <c r="F67" s="210">
        <v>50</v>
      </c>
      <c r="G67" s="174"/>
      <c r="H67" s="174"/>
      <c r="I67" s="174"/>
      <c r="J67" s="174"/>
      <c r="K67" s="174"/>
      <c r="L67" s="174"/>
      <c r="M67" s="174"/>
      <c r="N67" s="174"/>
      <c r="O67" s="227"/>
      <c r="P67" s="227"/>
      <c r="Q67" s="227"/>
      <c r="R67" s="227"/>
      <c r="S67" s="227"/>
      <c r="T67" s="227"/>
      <c r="U67" s="227"/>
      <c r="V67" s="227"/>
      <c r="W67" s="227"/>
      <c r="X67" s="227"/>
      <c r="Y67" s="227"/>
      <c r="Z67" s="227"/>
    </row>
    <row r="68" spans="1:26" ht="12.75" customHeight="1">
      <c r="A68" s="275" t="s">
        <v>898</v>
      </c>
      <c r="B68" s="276"/>
      <c r="C68" s="276"/>
      <c r="D68" s="276"/>
      <c r="E68" s="277"/>
      <c r="F68" s="208">
        <v>150</v>
      </c>
      <c r="G68" s="174"/>
      <c r="H68" s="174"/>
      <c r="I68" s="174"/>
      <c r="J68" s="174"/>
      <c r="K68" s="174"/>
      <c r="L68" s="174"/>
      <c r="M68" s="174"/>
      <c r="N68" s="174"/>
      <c r="O68" s="227"/>
      <c r="P68" s="227"/>
      <c r="Q68" s="227"/>
      <c r="R68" s="227"/>
      <c r="S68" s="227"/>
      <c r="T68" s="227"/>
      <c r="U68" s="227"/>
      <c r="V68" s="227"/>
      <c r="W68" s="227"/>
      <c r="X68" s="227"/>
      <c r="Y68" s="227"/>
      <c r="Z68" s="227"/>
    </row>
    <row r="69" spans="1:26" ht="12.75" customHeight="1">
      <c r="A69" s="275" t="s">
        <v>900</v>
      </c>
      <c r="B69" s="278"/>
      <c r="C69" s="278"/>
      <c r="D69" s="278"/>
      <c r="E69" s="279"/>
      <c r="F69" s="230">
        <v>0.5</v>
      </c>
      <c r="G69" s="174"/>
      <c r="H69" s="174"/>
      <c r="I69" s="174"/>
      <c r="J69" s="174"/>
      <c r="K69" s="174"/>
      <c r="L69" s="174"/>
      <c r="M69" s="174"/>
      <c r="N69" s="174"/>
      <c r="O69" s="227"/>
      <c r="P69" s="227"/>
      <c r="Q69" s="227"/>
      <c r="R69" s="227"/>
      <c r="S69" s="227"/>
      <c r="T69" s="227"/>
      <c r="U69" s="227"/>
      <c r="V69" s="227"/>
      <c r="W69" s="227"/>
      <c r="X69" s="227"/>
      <c r="Y69" s="227"/>
      <c r="Z69" s="227"/>
    </row>
    <row r="70" spans="1:26" ht="12.75" customHeight="1">
      <c r="A70" s="275" t="s">
        <v>901</v>
      </c>
      <c r="B70" s="276"/>
      <c r="C70" s="276"/>
      <c r="D70" s="276"/>
      <c r="E70" s="277"/>
      <c r="F70" s="231">
        <v>0.25</v>
      </c>
      <c r="G70" s="174"/>
      <c r="H70" s="174"/>
      <c r="I70" s="174"/>
      <c r="J70" s="174"/>
      <c r="K70" s="174"/>
      <c r="L70" s="174"/>
      <c r="M70" s="174"/>
      <c r="N70" s="174"/>
      <c r="O70" s="227"/>
      <c r="P70" s="227"/>
      <c r="Q70" s="227"/>
      <c r="R70" s="227"/>
      <c r="S70" s="227"/>
      <c r="T70" s="227"/>
      <c r="U70" s="227"/>
      <c r="V70" s="227"/>
      <c r="W70" s="227"/>
      <c r="X70" s="227"/>
      <c r="Y70" s="227"/>
      <c r="Z70" s="227"/>
    </row>
    <row r="71" spans="1:26" ht="12.75" customHeight="1">
      <c r="A71" s="275" t="s">
        <v>915</v>
      </c>
      <c r="B71" s="278"/>
      <c r="C71" s="278"/>
      <c r="D71" s="278"/>
      <c r="E71" s="279"/>
      <c r="F71" s="211">
        <f>F67*F68*F69*F70</f>
        <v>937.5</v>
      </c>
      <c r="G71" s="174"/>
      <c r="H71" s="174"/>
      <c r="I71" s="174"/>
      <c r="J71" s="174"/>
      <c r="K71" s="174"/>
      <c r="L71" s="174"/>
      <c r="M71" s="174"/>
      <c r="N71" s="174"/>
      <c r="O71" s="227"/>
      <c r="P71" s="227"/>
      <c r="Q71" s="227"/>
      <c r="R71" s="227"/>
      <c r="S71" s="227"/>
      <c r="T71" s="227"/>
      <c r="U71" s="227"/>
      <c r="V71" s="227"/>
      <c r="W71" s="227"/>
      <c r="X71" s="227"/>
      <c r="Y71" s="227"/>
      <c r="Z71" s="227"/>
    </row>
    <row r="72" spans="1:26" ht="12.75" customHeight="1">
      <c r="A72" s="275" t="s">
        <v>910</v>
      </c>
      <c r="B72" s="276"/>
      <c r="C72" s="276"/>
      <c r="D72" s="276"/>
      <c r="E72" s="277"/>
      <c r="F72" s="210">
        <v>250</v>
      </c>
      <c r="G72" s="174"/>
      <c r="H72" s="174"/>
      <c r="I72" s="174"/>
      <c r="J72" s="174"/>
      <c r="K72" s="174"/>
      <c r="L72" s="174"/>
      <c r="M72" s="174"/>
      <c r="N72" s="174"/>
      <c r="O72" s="227"/>
      <c r="P72" s="227"/>
      <c r="Q72" s="227"/>
      <c r="R72" s="227"/>
      <c r="S72" s="227"/>
      <c r="T72" s="227"/>
      <c r="U72" s="227"/>
      <c r="V72" s="227"/>
      <c r="W72" s="227"/>
      <c r="X72" s="227"/>
      <c r="Y72" s="227"/>
      <c r="Z72" s="227"/>
    </row>
    <row r="73" spans="1:26" ht="12.75" customHeight="1">
      <c r="A73" s="275" t="s">
        <v>913</v>
      </c>
      <c r="B73" s="278"/>
      <c r="C73" s="278"/>
      <c r="D73" s="278"/>
      <c r="E73" s="279"/>
      <c r="F73" s="232">
        <v>15</v>
      </c>
      <c r="G73" s="174"/>
      <c r="H73" s="174"/>
      <c r="I73" s="174"/>
      <c r="J73" s="174"/>
      <c r="K73" s="174"/>
      <c r="L73" s="174"/>
      <c r="M73" s="174"/>
      <c r="N73" s="174"/>
      <c r="O73" s="227"/>
      <c r="P73" s="227"/>
      <c r="Q73" s="227"/>
      <c r="R73" s="227"/>
      <c r="S73" s="227"/>
      <c r="T73" s="227"/>
      <c r="U73" s="227"/>
      <c r="V73" s="227"/>
      <c r="W73" s="227"/>
      <c r="X73" s="227"/>
      <c r="Y73" s="227"/>
      <c r="Z73" s="227"/>
    </row>
    <row r="74" spans="1:26" ht="12.75" customHeight="1">
      <c r="A74" s="275" t="s">
        <v>881</v>
      </c>
      <c r="B74" s="276"/>
      <c r="C74" s="276"/>
      <c r="D74" s="276"/>
      <c r="E74" s="277"/>
      <c r="F74" s="232">
        <v>3</v>
      </c>
      <c r="G74" s="174"/>
      <c r="H74" s="174"/>
      <c r="I74" s="174"/>
      <c r="J74" s="174"/>
      <c r="K74" s="174"/>
      <c r="L74" s="174"/>
      <c r="M74" s="174"/>
      <c r="N74" s="174"/>
      <c r="O74" s="227"/>
      <c r="P74" s="227"/>
      <c r="Q74" s="227"/>
      <c r="R74" s="227"/>
      <c r="S74" s="227"/>
      <c r="T74" s="227"/>
      <c r="U74" s="227"/>
      <c r="V74" s="227"/>
      <c r="W74" s="227"/>
      <c r="X74" s="227"/>
      <c r="Y74" s="227"/>
      <c r="Z74" s="227"/>
    </row>
    <row r="75" spans="1:26" ht="12.75" customHeight="1">
      <c r="A75" s="275" t="s">
        <v>903</v>
      </c>
      <c r="B75" s="276"/>
      <c r="C75" s="276"/>
      <c r="D75" s="276"/>
      <c r="E75" s="277"/>
      <c r="F75" s="211">
        <f>F74*F72</f>
        <v>750</v>
      </c>
      <c r="G75" s="174"/>
      <c r="H75" s="174"/>
      <c r="I75" s="174"/>
      <c r="J75" s="174"/>
      <c r="K75" s="174"/>
      <c r="L75" s="174"/>
      <c r="M75" s="174"/>
      <c r="N75" s="174"/>
      <c r="O75" s="227"/>
      <c r="P75" s="227"/>
      <c r="Q75" s="227"/>
      <c r="R75" s="227"/>
      <c r="S75" s="227"/>
      <c r="T75" s="227"/>
      <c r="U75" s="227"/>
      <c r="V75" s="227"/>
      <c r="W75" s="227"/>
      <c r="X75" s="227"/>
      <c r="Y75" s="227"/>
      <c r="Z75" s="227"/>
    </row>
    <row r="76" spans="1:26" ht="12.75" customHeight="1">
      <c r="A76" s="275"/>
      <c r="B76" s="276"/>
      <c r="C76" s="276"/>
      <c r="D76" s="276"/>
      <c r="E76" s="277"/>
      <c r="F76" s="213"/>
      <c r="G76" s="174"/>
      <c r="H76" s="174"/>
      <c r="I76" s="174"/>
      <c r="J76" s="174"/>
      <c r="K76" s="174"/>
      <c r="L76" s="174"/>
      <c r="M76" s="174"/>
      <c r="N76" s="174"/>
      <c r="O76" s="227"/>
      <c r="P76" s="227"/>
      <c r="Q76" s="227"/>
      <c r="R76" s="227"/>
      <c r="S76" s="227"/>
      <c r="T76" s="227"/>
      <c r="U76" s="227"/>
      <c r="V76" s="227"/>
      <c r="W76" s="227"/>
      <c r="X76" s="227"/>
      <c r="Y76" s="227"/>
      <c r="Z76" s="227"/>
    </row>
    <row r="77" spans="1:26" ht="12.75" customHeight="1">
      <c r="A77" s="282" t="s">
        <v>229</v>
      </c>
      <c r="B77" s="283"/>
      <c r="C77" s="283"/>
      <c r="D77" s="283"/>
      <c r="E77" s="281"/>
      <c r="F77" s="216" t="s">
        <v>818</v>
      </c>
      <c r="G77" s="174"/>
      <c r="H77" s="174"/>
      <c r="I77" s="174"/>
      <c r="J77" s="174"/>
      <c r="K77" s="174"/>
      <c r="L77" s="174"/>
      <c r="M77" s="174"/>
      <c r="N77" s="174"/>
      <c r="O77" s="227"/>
      <c r="P77" s="227"/>
      <c r="Q77" s="227"/>
      <c r="R77" s="227"/>
      <c r="S77" s="227"/>
      <c r="T77" s="227"/>
      <c r="U77" s="227"/>
      <c r="V77" s="227"/>
      <c r="W77" s="227"/>
      <c r="X77" s="227"/>
      <c r="Y77" s="227"/>
      <c r="Z77" s="227"/>
    </row>
    <row r="78" spans="1:26" ht="12.75" customHeight="1">
      <c r="A78" s="275" t="s">
        <v>867</v>
      </c>
      <c r="B78" s="276"/>
      <c r="C78" s="276"/>
      <c r="D78" s="276"/>
      <c r="E78" s="277"/>
      <c r="F78" s="210">
        <v>85</v>
      </c>
      <c r="G78" s="174"/>
      <c r="H78" s="174"/>
      <c r="I78" s="174"/>
      <c r="J78" s="174"/>
      <c r="K78" s="174"/>
      <c r="L78" s="174"/>
      <c r="M78" s="174"/>
      <c r="N78" s="174"/>
      <c r="O78" s="227"/>
      <c r="P78" s="227"/>
      <c r="Q78" s="227"/>
      <c r="R78" s="227"/>
      <c r="S78" s="227"/>
      <c r="T78" s="227"/>
      <c r="U78" s="227"/>
      <c r="V78" s="227"/>
      <c r="W78" s="227"/>
      <c r="X78" s="227"/>
      <c r="Y78" s="227"/>
      <c r="Z78" s="227"/>
    </row>
    <row r="79" spans="1:26" ht="12.75" customHeight="1">
      <c r="A79" s="275" t="s">
        <v>873</v>
      </c>
      <c r="B79" s="276"/>
      <c r="C79" s="276"/>
      <c r="D79" s="276"/>
      <c r="E79" s="277"/>
      <c r="F79" s="210">
        <v>150</v>
      </c>
      <c r="G79" s="174"/>
      <c r="H79" s="174"/>
      <c r="I79" s="174"/>
      <c r="J79" s="174"/>
      <c r="K79" s="174"/>
      <c r="L79" s="174"/>
      <c r="M79" s="174"/>
      <c r="N79" s="174"/>
      <c r="O79" s="227"/>
      <c r="P79" s="227"/>
      <c r="Q79" s="227"/>
      <c r="R79" s="227"/>
      <c r="S79" s="227"/>
      <c r="T79" s="227"/>
      <c r="U79" s="227"/>
      <c r="V79" s="227"/>
      <c r="W79" s="227"/>
      <c r="X79" s="227"/>
      <c r="Y79" s="227"/>
      <c r="Z79" s="227"/>
    </row>
    <row r="80" spans="1:26" ht="12.75" customHeight="1">
      <c r="A80" s="275" t="s">
        <v>874</v>
      </c>
      <c r="B80" s="276"/>
      <c r="C80" s="276"/>
      <c r="D80" s="276"/>
      <c r="E80" s="277"/>
      <c r="F80" s="210">
        <v>230</v>
      </c>
      <c r="G80" s="174"/>
      <c r="H80" s="174"/>
      <c r="I80" s="174"/>
      <c r="J80" s="174"/>
      <c r="K80" s="174"/>
      <c r="L80" s="174"/>
      <c r="M80" s="174"/>
      <c r="N80" s="174"/>
      <c r="O80" s="227"/>
      <c r="P80" s="227"/>
      <c r="Q80" s="227"/>
      <c r="R80" s="227"/>
      <c r="S80" s="227"/>
      <c r="T80" s="227"/>
      <c r="U80" s="227"/>
      <c r="V80" s="227"/>
      <c r="W80" s="227"/>
      <c r="X80" s="227"/>
      <c r="Y80" s="227"/>
      <c r="Z80" s="227"/>
    </row>
    <row r="81" spans="1:26" ht="12.75" customHeight="1">
      <c r="A81" s="275" t="s">
        <v>868</v>
      </c>
      <c r="B81" s="276"/>
      <c r="C81" s="276"/>
      <c r="D81" s="276"/>
      <c r="E81" s="277"/>
      <c r="F81" s="210">
        <v>250</v>
      </c>
      <c r="G81" s="174"/>
      <c r="H81" s="174"/>
      <c r="I81" s="174"/>
      <c r="J81" s="174"/>
      <c r="K81" s="174"/>
      <c r="L81" s="174"/>
      <c r="M81" s="174"/>
      <c r="N81" s="174"/>
      <c r="O81" s="227"/>
      <c r="P81" s="227"/>
      <c r="Q81" s="227"/>
      <c r="R81" s="227"/>
      <c r="S81" s="227"/>
      <c r="T81" s="227"/>
      <c r="U81" s="227"/>
      <c r="V81" s="227"/>
      <c r="W81" s="227"/>
      <c r="X81" s="227"/>
      <c r="Y81" s="227"/>
      <c r="Z81" s="227"/>
    </row>
    <row r="82" spans="1:26" ht="12.75" customHeight="1">
      <c r="A82" s="275" t="s">
        <v>869</v>
      </c>
      <c r="B82" s="276"/>
      <c r="C82" s="276"/>
      <c r="D82" s="276"/>
      <c r="E82" s="277"/>
      <c r="F82" s="210">
        <v>800</v>
      </c>
      <c r="G82" s="174"/>
      <c r="H82" s="174"/>
      <c r="I82" s="174"/>
      <c r="J82" s="174"/>
      <c r="K82" s="174"/>
      <c r="L82" s="174"/>
      <c r="M82" s="174"/>
      <c r="N82" s="174"/>
      <c r="O82" s="227"/>
      <c r="P82" s="227"/>
      <c r="Q82" s="227"/>
      <c r="R82" s="227"/>
      <c r="S82" s="227"/>
      <c r="T82" s="227"/>
      <c r="U82" s="227"/>
      <c r="V82" s="227"/>
      <c r="W82" s="227"/>
      <c r="X82" s="227"/>
      <c r="Y82" s="227"/>
      <c r="Z82" s="227"/>
    </row>
    <row r="83" spans="1:26" ht="12.75" customHeight="1">
      <c r="A83" s="275" t="s">
        <v>872</v>
      </c>
      <c r="B83" s="276"/>
      <c r="C83" s="276"/>
      <c r="D83" s="276"/>
      <c r="E83" s="277"/>
      <c r="F83" s="210">
        <v>75</v>
      </c>
      <c r="G83" s="174"/>
      <c r="H83" s="174"/>
      <c r="I83" s="174"/>
      <c r="J83" s="174"/>
      <c r="K83" s="174"/>
      <c r="L83" s="174"/>
      <c r="M83" s="174"/>
      <c r="N83" s="174"/>
      <c r="O83" s="227"/>
      <c r="P83" s="227"/>
      <c r="Q83" s="227"/>
      <c r="R83" s="227"/>
      <c r="S83" s="227"/>
      <c r="T83" s="227"/>
      <c r="U83" s="227"/>
      <c r="V83" s="227"/>
      <c r="W83" s="227"/>
      <c r="X83" s="227"/>
      <c r="Y83" s="227"/>
      <c r="Z83" s="227"/>
    </row>
    <row r="84" spans="1:26" ht="12.75" customHeight="1">
      <c r="A84" s="275" t="s">
        <v>914</v>
      </c>
      <c r="B84" s="276"/>
      <c r="C84" s="276"/>
      <c r="D84" s="276"/>
      <c r="E84" s="277"/>
      <c r="F84" s="210">
        <v>80</v>
      </c>
      <c r="G84" s="174"/>
      <c r="H84" s="174"/>
      <c r="I84" s="174"/>
      <c r="J84" s="174"/>
      <c r="K84" s="174"/>
      <c r="L84" s="174"/>
      <c r="M84" s="174"/>
      <c r="N84" s="174"/>
      <c r="O84" s="227"/>
      <c r="P84" s="227"/>
      <c r="Q84" s="227"/>
      <c r="R84" s="227"/>
      <c r="S84" s="227"/>
      <c r="T84" s="227"/>
      <c r="U84" s="227"/>
      <c r="V84" s="227"/>
      <c r="W84" s="227"/>
      <c r="X84" s="227"/>
      <c r="Y84" s="227"/>
      <c r="Z84" s="227"/>
    </row>
    <row r="85" spans="1:26" ht="12.75" customHeight="1">
      <c r="A85" s="275" t="s">
        <v>884</v>
      </c>
      <c r="B85" s="276"/>
      <c r="C85" s="276"/>
      <c r="D85" s="276"/>
      <c r="E85" s="277"/>
      <c r="F85" s="210">
        <v>150</v>
      </c>
      <c r="G85" s="174"/>
      <c r="H85" s="174"/>
      <c r="I85" s="174"/>
      <c r="J85" s="174"/>
      <c r="K85" s="174"/>
      <c r="L85" s="174"/>
      <c r="M85" s="174"/>
      <c r="N85" s="174"/>
      <c r="O85" s="227"/>
      <c r="P85" s="227"/>
      <c r="Q85" s="227"/>
      <c r="R85" s="227"/>
      <c r="S85" s="227"/>
      <c r="T85" s="227"/>
      <c r="U85" s="227"/>
      <c r="V85" s="227"/>
      <c r="W85" s="227"/>
      <c r="X85" s="227"/>
      <c r="Y85" s="227"/>
      <c r="Z85" s="227"/>
    </row>
    <row r="86" spans="1:26" ht="12.75" customHeight="1">
      <c r="A86" s="275"/>
      <c r="B86" s="278"/>
      <c r="C86" s="278"/>
      <c r="D86" s="278"/>
      <c r="E86" s="279"/>
      <c r="F86" s="214"/>
      <c r="G86" s="174"/>
      <c r="H86" s="174"/>
      <c r="I86" s="174"/>
      <c r="J86" s="174"/>
      <c r="K86" s="174"/>
      <c r="L86" s="174"/>
      <c r="M86" s="174"/>
      <c r="N86" s="174"/>
      <c r="O86" s="227"/>
      <c r="P86" s="227"/>
      <c r="Q86" s="227"/>
      <c r="R86" s="227"/>
      <c r="S86" s="227"/>
      <c r="T86" s="227"/>
      <c r="U86" s="227"/>
      <c r="V86" s="227"/>
      <c r="W86" s="227"/>
      <c r="X86" s="227"/>
      <c r="Y86" s="227"/>
      <c r="Z86" s="227"/>
    </row>
    <row r="87" spans="1:26" ht="12.75" customHeight="1">
      <c r="A87" s="292" t="s">
        <v>819</v>
      </c>
      <c r="B87" s="283"/>
      <c r="C87" s="283"/>
      <c r="D87" s="283"/>
      <c r="E87" s="281"/>
      <c r="F87" s="215"/>
      <c r="G87" s="174"/>
      <c r="H87" s="174"/>
      <c r="I87" s="174"/>
      <c r="J87" s="174"/>
      <c r="K87" s="174"/>
      <c r="L87" s="174"/>
      <c r="M87" s="174"/>
      <c r="N87" s="174"/>
      <c r="O87" s="227"/>
      <c r="P87" s="227"/>
      <c r="Q87" s="227"/>
      <c r="R87" s="227"/>
      <c r="S87" s="227"/>
      <c r="T87" s="227"/>
      <c r="U87" s="227"/>
      <c r="V87" s="227"/>
      <c r="W87" s="227"/>
      <c r="X87" s="227"/>
      <c r="Y87" s="227"/>
      <c r="Z87" s="227"/>
    </row>
    <row r="88" spans="1:26" ht="12.75" customHeight="1">
      <c r="A88" s="275" t="s">
        <v>907</v>
      </c>
      <c r="B88" s="276"/>
      <c r="C88" s="276"/>
      <c r="D88" s="276"/>
      <c r="E88" s="277"/>
      <c r="F88" s="211">
        <f>F32+F44+F53+F64+F75</f>
        <v>2810.125</v>
      </c>
      <c r="G88" s="174"/>
      <c r="H88" s="174"/>
      <c r="I88" s="174"/>
      <c r="J88" s="174"/>
      <c r="K88" s="174"/>
      <c r="L88" s="174"/>
      <c r="M88" s="174"/>
      <c r="N88" s="174"/>
      <c r="O88" s="227"/>
      <c r="P88" s="227"/>
      <c r="Q88" s="227"/>
      <c r="R88" s="227"/>
      <c r="S88" s="227"/>
      <c r="T88" s="227"/>
      <c r="U88" s="227"/>
      <c r="V88" s="227"/>
      <c r="W88" s="227"/>
      <c r="X88" s="227"/>
      <c r="Y88" s="227"/>
      <c r="Z88" s="227"/>
    </row>
    <row r="89" spans="1:26" ht="12.75" customHeight="1">
      <c r="A89" s="275" t="s">
        <v>908</v>
      </c>
      <c r="B89" s="276"/>
      <c r="C89" s="276"/>
      <c r="D89" s="276"/>
      <c r="E89" s="277"/>
      <c r="F89" s="208">
        <v>3</v>
      </c>
      <c r="G89" s="174"/>
      <c r="H89" s="174"/>
      <c r="I89" s="174"/>
      <c r="J89" s="174"/>
      <c r="K89" s="174"/>
      <c r="L89" s="174"/>
      <c r="M89" s="174"/>
      <c r="N89" s="174"/>
      <c r="O89" s="227"/>
      <c r="P89" s="227"/>
      <c r="Q89" s="227"/>
      <c r="R89" s="227"/>
      <c r="S89" s="227"/>
      <c r="T89" s="227"/>
      <c r="U89" s="227"/>
      <c r="V89" s="227"/>
      <c r="W89" s="227"/>
      <c r="X89" s="227"/>
      <c r="Y89" s="227"/>
      <c r="Z89" s="227"/>
    </row>
    <row r="90" spans="1:26" ht="12.75" customHeight="1">
      <c r="A90" s="275" t="s">
        <v>911</v>
      </c>
      <c r="B90" s="276"/>
      <c r="C90" s="276"/>
      <c r="D90" s="276"/>
      <c r="E90" s="277"/>
      <c r="F90" s="211">
        <f>F88*F89/12</f>
        <v>702.53125</v>
      </c>
      <c r="G90" s="174"/>
      <c r="H90" s="174"/>
      <c r="I90" s="174"/>
      <c r="J90" s="174"/>
      <c r="K90" s="174"/>
      <c r="L90" s="174"/>
      <c r="M90" s="174"/>
      <c r="N90" s="174"/>
      <c r="O90" s="227"/>
      <c r="P90" s="227"/>
      <c r="Q90" s="227"/>
      <c r="R90" s="227"/>
      <c r="S90" s="227"/>
      <c r="T90" s="227"/>
      <c r="U90" s="227"/>
      <c r="V90" s="227"/>
      <c r="W90" s="227"/>
      <c r="X90" s="227"/>
      <c r="Y90" s="227"/>
      <c r="Z90" s="227"/>
    </row>
    <row r="91" spans="1:26" ht="12.75" customHeight="1">
      <c r="A91" s="174"/>
      <c r="B91" s="174"/>
      <c r="C91" s="174"/>
      <c r="D91" s="174"/>
      <c r="E91" s="174"/>
      <c r="F91" s="150"/>
      <c r="G91" s="174"/>
      <c r="H91" s="174"/>
      <c r="I91" s="174"/>
      <c r="J91" s="174"/>
      <c r="K91" s="174"/>
      <c r="L91" s="174"/>
      <c r="M91" s="174"/>
      <c r="N91" s="174"/>
      <c r="O91" s="227"/>
      <c r="P91" s="227"/>
      <c r="Q91" s="227"/>
      <c r="R91" s="227"/>
      <c r="S91" s="227"/>
      <c r="T91" s="227"/>
      <c r="U91" s="227"/>
      <c r="V91" s="227"/>
      <c r="W91" s="227"/>
      <c r="X91" s="227"/>
      <c r="Y91" s="227"/>
      <c r="Z91" s="227"/>
    </row>
    <row r="92" spans="1:26" ht="12.75" customHeight="1">
      <c r="A92" s="174"/>
      <c r="B92" s="174"/>
      <c r="C92" s="174"/>
      <c r="D92" s="174"/>
      <c r="E92" s="174"/>
      <c r="F92" s="150"/>
      <c r="G92" s="174"/>
      <c r="H92" s="174"/>
      <c r="I92" s="174"/>
      <c r="J92" s="174"/>
      <c r="K92" s="174"/>
      <c r="L92" s="174"/>
      <c r="M92" s="174"/>
      <c r="N92" s="174"/>
      <c r="O92" s="227"/>
      <c r="P92" s="227"/>
      <c r="Q92" s="227"/>
      <c r="R92" s="227"/>
      <c r="S92" s="227"/>
      <c r="T92" s="227"/>
      <c r="U92" s="227"/>
      <c r="V92" s="227"/>
      <c r="W92" s="227"/>
      <c r="X92" s="227"/>
      <c r="Y92" s="227"/>
      <c r="Z92" s="227"/>
    </row>
    <row r="93" spans="1:26" ht="12.75" customHeight="1">
      <c r="A93" s="174"/>
      <c r="B93" s="174"/>
      <c r="C93" s="174"/>
      <c r="D93" s="174"/>
      <c r="E93" s="174"/>
      <c r="F93" s="150"/>
      <c r="G93" s="174"/>
      <c r="H93" s="174"/>
      <c r="I93" s="174"/>
      <c r="J93" s="174"/>
      <c r="K93" s="174"/>
      <c r="L93" s="174"/>
      <c r="M93" s="174"/>
      <c r="N93" s="174"/>
      <c r="O93" s="227"/>
      <c r="P93" s="227"/>
      <c r="Q93" s="227"/>
      <c r="R93" s="227"/>
      <c r="S93" s="227"/>
      <c r="T93" s="227"/>
      <c r="U93" s="227"/>
      <c r="V93" s="227"/>
      <c r="W93" s="227"/>
      <c r="X93" s="227"/>
      <c r="Y93" s="227"/>
      <c r="Z93" s="227"/>
    </row>
    <row r="94" spans="1:26" ht="12.75" customHeight="1">
      <c r="A94" s="174"/>
      <c r="B94" s="174"/>
      <c r="C94" s="174"/>
      <c r="D94" s="174"/>
      <c r="E94" s="174"/>
      <c r="F94" s="150"/>
      <c r="G94" s="174"/>
      <c r="H94" s="174"/>
      <c r="I94" s="174"/>
      <c r="J94" s="174"/>
      <c r="K94" s="174"/>
      <c r="L94" s="174"/>
      <c r="M94" s="174"/>
      <c r="N94" s="174"/>
      <c r="O94" s="227"/>
      <c r="P94" s="227"/>
      <c r="Q94" s="227"/>
      <c r="R94" s="227"/>
      <c r="S94" s="227"/>
      <c r="T94" s="227"/>
      <c r="U94" s="227"/>
      <c r="V94" s="227"/>
      <c r="W94" s="227"/>
      <c r="X94" s="227"/>
      <c r="Y94" s="227"/>
      <c r="Z94" s="227"/>
    </row>
    <row r="95" spans="1:26" ht="12.75" customHeight="1">
      <c r="A95" s="174"/>
      <c r="B95" s="174"/>
      <c r="C95" s="174"/>
      <c r="D95" s="174"/>
      <c r="E95" s="174"/>
      <c r="F95" s="150"/>
      <c r="G95" s="174"/>
      <c r="H95" s="174"/>
      <c r="I95" s="174"/>
      <c r="J95" s="174"/>
      <c r="K95" s="174"/>
      <c r="L95" s="174"/>
      <c r="M95" s="174"/>
      <c r="N95" s="174"/>
      <c r="O95" s="227"/>
      <c r="P95" s="227"/>
      <c r="Q95" s="227"/>
      <c r="R95" s="227"/>
      <c r="S95" s="227"/>
      <c r="T95" s="227"/>
      <c r="U95" s="227"/>
      <c r="V95" s="227"/>
      <c r="W95" s="227"/>
      <c r="X95" s="227"/>
      <c r="Y95" s="227"/>
      <c r="Z95" s="227"/>
    </row>
    <row r="96" spans="1:26" ht="12.75" customHeight="1">
      <c r="A96" s="174"/>
      <c r="B96" s="174"/>
      <c r="C96" s="174"/>
      <c r="D96" s="174"/>
      <c r="E96" s="174"/>
      <c r="F96" s="150"/>
      <c r="G96" s="174"/>
      <c r="H96" s="174"/>
      <c r="I96" s="174"/>
      <c r="J96" s="174"/>
      <c r="K96" s="174"/>
      <c r="L96" s="174"/>
      <c r="M96" s="174"/>
      <c r="N96" s="174"/>
      <c r="O96" s="227"/>
      <c r="P96" s="227"/>
      <c r="Q96" s="227"/>
      <c r="R96" s="227"/>
      <c r="S96" s="227"/>
      <c r="T96" s="227"/>
      <c r="U96" s="227"/>
      <c r="V96" s="227"/>
      <c r="W96" s="227"/>
      <c r="X96" s="227"/>
      <c r="Y96" s="227"/>
      <c r="Z96" s="227"/>
    </row>
    <row r="97" spans="1:26" ht="12.75" customHeight="1">
      <c r="A97" s="174"/>
      <c r="B97" s="174"/>
      <c r="C97" s="174"/>
      <c r="D97" s="174"/>
      <c r="E97" s="174"/>
      <c r="F97" s="150"/>
      <c r="G97" s="174"/>
      <c r="H97" s="174"/>
      <c r="I97" s="174"/>
      <c r="J97" s="174"/>
      <c r="K97" s="174"/>
      <c r="L97" s="174"/>
      <c r="M97" s="174"/>
      <c r="N97" s="174"/>
      <c r="O97" s="227"/>
      <c r="P97" s="227"/>
      <c r="Q97" s="227"/>
      <c r="R97" s="227"/>
      <c r="S97" s="227"/>
      <c r="T97" s="227"/>
      <c r="U97" s="227"/>
      <c r="V97" s="227"/>
      <c r="W97" s="227"/>
      <c r="X97" s="227"/>
      <c r="Y97" s="227"/>
      <c r="Z97" s="227"/>
    </row>
    <row r="98" spans="1:26" ht="12.75" customHeight="1">
      <c r="A98" s="174"/>
      <c r="B98" s="174"/>
      <c r="C98" s="174"/>
      <c r="D98" s="174"/>
      <c r="E98" s="174"/>
      <c r="F98" s="150"/>
      <c r="G98" s="174"/>
      <c r="H98" s="174"/>
      <c r="I98" s="174"/>
      <c r="J98" s="174"/>
      <c r="K98" s="174"/>
      <c r="L98" s="174"/>
      <c r="M98" s="174"/>
      <c r="N98" s="174"/>
      <c r="O98" s="227"/>
      <c r="P98" s="227"/>
      <c r="Q98" s="227"/>
      <c r="R98" s="227"/>
      <c r="S98" s="227"/>
      <c r="T98" s="227"/>
      <c r="U98" s="227"/>
      <c r="V98" s="227"/>
      <c r="W98" s="227"/>
      <c r="X98" s="227"/>
      <c r="Y98" s="227"/>
      <c r="Z98" s="227"/>
    </row>
    <row r="99" spans="1:26" ht="12.75" customHeight="1">
      <c r="A99" s="174"/>
      <c r="B99" s="174"/>
      <c r="C99" s="174"/>
      <c r="D99" s="174"/>
      <c r="E99" s="174"/>
      <c r="F99" s="150"/>
      <c r="G99" s="174"/>
      <c r="H99" s="174"/>
      <c r="I99" s="174"/>
      <c r="J99" s="174"/>
      <c r="K99" s="174"/>
      <c r="L99" s="174"/>
      <c r="M99" s="174"/>
      <c r="N99" s="174"/>
      <c r="O99" s="227"/>
      <c r="P99" s="227"/>
      <c r="Q99" s="227"/>
      <c r="R99" s="227"/>
      <c r="S99" s="227"/>
      <c r="T99" s="227"/>
      <c r="U99" s="227"/>
      <c r="V99" s="227"/>
      <c r="W99" s="227"/>
      <c r="X99" s="227"/>
      <c r="Y99" s="227"/>
      <c r="Z99" s="227"/>
    </row>
    <row r="100" spans="1:26" ht="12.75" customHeight="1">
      <c r="A100" s="174"/>
      <c r="B100" s="174"/>
      <c r="C100" s="174"/>
      <c r="D100" s="174"/>
      <c r="E100" s="174"/>
      <c r="F100" s="150"/>
      <c r="G100" s="174"/>
      <c r="H100" s="174"/>
      <c r="I100" s="174"/>
      <c r="J100" s="174"/>
      <c r="K100" s="174"/>
      <c r="L100" s="174"/>
      <c r="M100" s="174"/>
      <c r="N100" s="174"/>
      <c r="O100" s="227"/>
      <c r="P100" s="227"/>
      <c r="Q100" s="227"/>
      <c r="R100" s="227"/>
      <c r="S100" s="227"/>
      <c r="T100" s="227"/>
      <c r="U100" s="227"/>
      <c r="V100" s="227"/>
      <c r="W100" s="227"/>
      <c r="X100" s="227"/>
      <c r="Y100" s="227"/>
      <c r="Z100" s="227"/>
    </row>
    <row r="101" spans="1:26" ht="12.75" customHeight="1">
      <c r="A101" s="174"/>
      <c r="B101" s="174"/>
      <c r="C101" s="174"/>
      <c r="D101" s="174"/>
      <c r="E101" s="174"/>
      <c r="F101" s="150"/>
      <c r="G101" s="174"/>
      <c r="H101" s="174"/>
      <c r="I101" s="174"/>
      <c r="J101" s="174"/>
      <c r="K101" s="174"/>
      <c r="L101" s="174"/>
      <c r="M101" s="174"/>
      <c r="N101" s="174"/>
      <c r="O101" s="227"/>
      <c r="P101" s="227"/>
      <c r="Q101" s="227"/>
      <c r="R101" s="227"/>
      <c r="S101" s="227"/>
      <c r="T101" s="227"/>
      <c r="U101" s="227"/>
      <c r="V101" s="227"/>
      <c r="W101" s="227"/>
      <c r="X101" s="227"/>
      <c r="Y101" s="227"/>
      <c r="Z101" s="227"/>
    </row>
    <row r="102" spans="1:26" ht="12.75" customHeight="1">
      <c r="A102" s="174"/>
      <c r="B102" s="174"/>
      <c r="C102" s="174"/>
      <c r="D102" s="174"/>
      <c r="E102" s="174"/>
      <c r="F102" s="150"/>
      <c r="G102" s="174"/>
      <c r="H102" s="174"/>
      <c r="I102" s="174"/>
      <c r="J102" s="174"/>
      <c r="K102" s="174"/>
      <c r="L102" s="174"/>
      <c r="M102" s="174"/>
      <c r="N102" s="174"/>
      <c r="O102" s="227"/>
      <c r="P102" s="227"/>
      <c r="Q102" s="227"/>
      <c r="R102" s="227"/>
      <c r="S102" s="227"/>
      <c r="T102" s="227"/>
      <c r="U102" s="227"/>
      <c r="V102" s="227"/>
      <c r="W102" s="227"/>
      <c r="X102" s="227"/>
      <c r="Y102" s="227"/>
      <c r="Z102" s="227"/>
    </row>
    <row r="103" spans="1:26" ht="12.75" customHeight="1">
      <c r="A103" s="174"/>
      <c r="B103" s="174"/>
      <c r="C103" s="174"/>
      <c r="D103" s="174"/>
      <c r="E103" s="174"/>
      <c r="F103" s="150"/>
      <c r="G103" s="174"/>
      <c r="H103" s="174"/>
      <c r="I103" s="174"/>
      <c r="J103" s="174"/>
      <c r="K103" s="174"/>
      <c r="L103" s="174"/>
      <c r="M103" s="174"/>
      <c r="N103" s="174"/>
      <c r="O103" s="227"/>
      <c r="P103" s="227"/>
      <c r="Q103" s="227"/>
      <c r="R103" s="227"/>
      <c r="S103" s="227"/>
      <c r="T103" s="227"/>
      <c r="U103" s="227"/>
      <c r="V103" s="227"/>
      <c r="W103" s="227"/>
      <c r="X103" s="227"/>
      <c r="Y103" s="227"/>
      <c r="Z103" s="227"/>
    </row>
    <row r="104" spans="1:26" ht="12.75" customHeight="1">
      <c r="A104" s="174"/>
      <c r="B104" s="174"/>
      <c r="C104" s="174"/>
      <c r="D104" s="174"/>
      <c r="E104" s="174"/>
      <c r="F104" s="150"/>
      <c r="G104" s="174"/>
      <c r="H104" s="174"/>
      <c r="I104" s="174"/>
      <c r="J104" s="174"/>
      <c r="K104" s="174"/>
      <c r="L104" s="174"/>
      <c r="M104" s="174"/>
      <c r="N104" s="174"/>
      <c r="O104" s="227"/>
      <c r="P104" s="227"/>
      <c r="Q104" s="227"/>
      <c r="R104" s="227"/>
      <c r="S104" s="227"/>
      <c r="T104" s="227"/>
      <c r="U104" s="227"/>
      <c r="V104" s="227"/>
      <c r="W104" s="227"/>
      <c r="X104" s="227"/>
      <c r="Y104" s="227"/>
      <c r="Z104" s="227"/>
    </row>
    <row r="105" spans="1:26" ht="12.75" customHeight="1">
      <c r="A105" s="174"/>
      <c r="B105" s="174"/>
      <c r="C105" s="174"/>
      <c r="D105" s="174"/>
      <c r="E105" s="174"/>
      <c r="F105" s="150"/>
      <c r="G105" s="174"/>
      <c r="H105" s="174"/>
      <c r="I105" s="174"/>
      <c r="J105" s="174"/>
      <c r="K105" s="174"/>
      <c r="L105" s="174"/>
      <c r="M105" s="174"/>
      <c r="N105" s="174"/>
      <c r="O105" s="227"/>
      <c r="P105" s="227"/>
      <c r="Q105" s="227"/>
      <c r="R105" s="227"/>
      <c r="S105" s="227"/>
      <c r="T105" s="227"/>
      <c r="U105" s="227"/>
      <c r="V105" s="227"/>
      <c r="W105" s="227"/>
      <c r="X105" s="227"/>
      <c r="Y105" s="227"/>
      <c r="Z105" s="227"/>
    </row>
    <row r="106" spans="1:26" ht="12.75" customHeight="1">
      <c r="A106" s="174"/>
      <c r="B106" s="174"/>
      <c r="C106" s="174"/>
      <c r="D106" s="174"/>
      <c r="E106" s="174"/>
      <c r="F106" s="150"/>
      <c r="G106" s="174"/>
      <c r="H106" s="174"/>
      <c r="I106" s="174"/>
      <c r="J106" s="174"/>
      <c r="K106" s="174"/>
      <c r="L106" s="174"/>
      <c r="M106" s="174"/>
      <c r="N106" s="174"/>
      <c r="O106" s="227"/>
      <c r="P106" s="227"/>
      <c r="Q106" s="227"/>
      <c r="R106" s="227"/>
      <c r="S106" s="227"/>
      <c r="T106" s="227"/>
      <c r="U106" s="227"/>
      <c r="V106" s="227"/>
      <c r="W106" s="227"/>
      <c r="X106" s="227"/>
      <c r="Y106" s="227"/>
      <c r="Z106" s="227"/>
    </row>
    <row r="107" spans="1:26" ht="12.75" customHeight="1">
      <c r="A107" s="174"/>
      <c r="B107" s="174"/>
      <c r="C107" s="174"/>
      <c r="D107" s="174"/>
      <c r="E107" s="174"/>
      <c r="F107" s="150"/>
      <c r="G107" s="174"/>
      <c r="H107" s="174"/>
      <c r="I107" s="174"/>
      <c r="J107" s="174"/>
      <c r="K107" s="174"/>
      <c r="L107" s="174"/>
      <c r="M107" s="174"/>
      <c r="N107" s="174"/>
      <c r="O107" s="227"/>
      <c r="P107" s="227"/>
      <c r="Q107" s="227"/>
      <c r="R107" s="227"/>
      <c r="S107" s="227"/>
      <c r="T107" s="227"/>
      <c r="U107" s="227"/>
      <c r="V107" s="227"/>
      <c r="W107" s="227"/>
      <c r="X107" s="227"/>
      <c r="Y107" s="227"/>
      <c r="Z107" s="227"/>
    </row>
    <row r="108" spans="1:26" ht="12.75" customHeight="1">
      <c r="A108" s="174"/>
      <c r="B108" s="174"/>
      <c r="C108" s="174"/>
      <c r="D108" s="174"/>
      <c r="E108" s="174"/>
      <c r="F108" s="150"/>
      <c r="G108" s="174"/>
      <c r="H108" s="174"/>
      <c r="I108" s="174"/>
      <c r="J108" s="174"/>
      <c r="K108" s="174"/>
      <c r="L108" s="174"/>
      <c r="M108" s="174"/>
      <c r="N108" s="174"/>
      <c r="O108" s="227"/>
      <c r="P108" s="227"/>
      <c r="Q108" s="227"/>
      <c r="R108" s="227"/>
      <c r="S108" s="227"/>
      <c r="T108" s="227"/>
      <c r="U108" s="227"/>
      <c r="V108" s="227"/>
      <c r="W108" s="227"/>
      <c r="X108" s="227"/>
      <c r="Y108" s="227"/>
      <c r="Z108" s="227"/>
    </row>
    <row r="109" spans="1:26" ht="12.75" customHeight="1">
      <c r="A109" s="174"/>
      <c r="B109" s="174"/>
      <c r="C109" s="174"/>
      <c r="D109" s="174"/>
      <c r="E109" s="174"/>
      <c r="F109" s="150"/>
      <c r="G109" s="174"/>
      <c r="H109" s="174"/>
      <c r="I109" s="174"/>
      <c r="J109" s="174"/>
      <c r="K109" s="174"/>
      <c r="L109" s="174"/>
      <c r="M109" s="174"/>
      <c r="N109" s="174"/>
      <c r="O109" s="227"/>
      <c r="P109" s="227"/>
      <c r="Q109" s="227"/>
      <c r="R109" s="227"/>
      <c r="S109" s="227"/>
      <c r="T109" s="227"/>
      <c r="U109" s="227"/>
      <c r="V109" s="227"/>
      <c r="W109" s="227"/>
      <c r="X109" s="227"/>
      <c r="Y109" s="227"/>
      <c r="Z109" s="227"/>
    </row>
    <row r="110" spans="1:26" ht="12.75" customHeight="1">
      <c r="A110" s="174"/>
      <c r="B110" s="174"/>
      <c r="C110" s="174"/>
      <c r="D110" s="174"/>
      <c r="E110" s="174"/>
      <c r="F110" s="150"/>
      <c r="G110" s="174"/>
      <c r="H110" s="174"/>
      <c r="I110" s="174"/>
      <c r="J110" s="174"/>
      <c r="K110" s="174"/>
      <c r="L110" s="174"/>
      <c r="M110" s="174"/>
      <c r="N110" s="174"/>
      <c r="O110" s="227"/>
      <c r="P110" s="227"/>
      <c r="Q110" s="227"/>
      <c r="R110" s="227"/>
      <c r="S110" s="227"/>
      <c r="T110" s="227"/>
      <c r="U110" s="227"/>
      <c r="V110" s="227"/>
      <c r="W110" s="227"/>
      <c r="X110" s="227"/>
      <c r="Y110" s="227"/>
      <c r="Z110" s="227"/>
    </row>
    <row r="111" spans="1:26" ht="12.75" customHeight="1">
      <c r="A111" s="174"/>
      <c r="B111" s="174"/>
      <c r="C111" s="174"/>
      <c r="D111" s="174"/>
      <c r="E111" s="174"/>
      <c r="F111" s="150"/>
      <c r="G111" s="174"/>
      <c r="H111" s="174"/>
      <c r="I111" s="174"/>
      <c r="J111" s="174"/>
      <c r="K111" s="174"/>
      <c r="L111" s="174"/>
      <c r="M111" s="174"/>
      <c r="N111" s="174"/>
      <c r="O111" s="227"/>
      <c r="P111" s="227"/>
      <c r="Q111" s="227"/>
      <c r="R111" s="227"/>
      <c r="S111" s="227"/>
      <c r="T111" s="227"/>
      <c r="U111" s="227"/>
      <c r="V111" s="227"/>
      <c r="W111" s="227"/>
      <c r="X111" s="227"/>
      <c r="Y111" s="227"/>
      <c r="Z111" s="227"/>
    </row>
    <row r="112" spans="1:26" ht="12.75" customHeight="1">
      <c r="A112" s="174"/>
      <c r="B112" s="174"/>
      <c r="C112" s="174"/>
      <c r="D112" s="174"/>
      <c r="E112" s="174"/>
      <c r="F112" s="150"/>
      <c r="G112" s="174"/>
      <c r="H112" s="174"/>
      <c r="I112" s="174"/>
      <c r="J112" s="174"/>
      <c r="K112" s="174"/>
      <c r="L112" s="174"/>
      <c r="M112" s="174"/>
      <c r="N112" s="174"/>
      <c r="O112" s="227"/>
      <c r="P112" s="227"/>
      <c r="Q112" s="227"/>
      <c r="R112" s="227"/>
      <c r="S112" s="227"/>
      <c r="T112" s="227"/>
      <c r="U112" s="227"/>
      <c r="V112" s="227"/>
      <c r="W112" s="227"/>
      <c r="X112" s="227"/>
      <c r="Y112" s="227"/>
      <c r="Z112" s="227"/>
    </row>
    <row r="113" spans="1:26" ht="12.75" customHeight="1">
      <c r="A113" s="174"/>
      <c r="B113" s="174"/>
      <c r="C113" s="174"/>
      <c r="D113" s="174"/>
      <c r="E113" s="174"/>
      <c r="F113" s="150"/>
      <c r="G113" s="174"/>
      <c r="H113" s="174"/>
      <c r="I113" s="174"/>
      <c r="J113" s="174"/>
      <c r="K113" s="174"/>
      <c r="L113" s="174"/>
      <c r="M113" s="174"/>
      <c r="N113" s="174"/>
      <c r="O113" s="227"/>
      <c r="P113" s="227"/>
      <c r="Q113" s="227"/>
      <c r="R113" s="227"/>
      <c r="S113" s="227"/>
      <c r="T113" s="227"/>
      <c r="U113" s="227"/>
      <c r="V113" s="227"/>
      <c r="W113" s="227"/>
      <c r="X113" s="227"/>
      <c r="Y113" s="227"/>
      <c r="Z113" s="227"/>
    </row>
    <row r="114" spans="1:26" ht="12.75" customHeight="1">
      <c r="A114" s="174"/>
      <c r="B114" s="174"/>
      <c r="C114" s="174"/>
      <c r="D114" s="174"/>
      <c r="E114" s="174"/>
      <c r="F114" s="150"/>
      <c r="G114" s="174"/>
      <c r="H114" s="174"/>
      <c r="I114" s="174"/>
      <c r="J114" s="174"/>
      <c r="K114" s="174"/>
      <c r="L114" s="174"/>
      <c r="M114" s="174"/>
      <c r="N114" s="174"/>
      <c r="O114" s="227"/>
      <c r="P114" s="227"/>
      <c r="Q114" s="227"/>
      <c r="R114" s="227"/>
      <c r="S114" s="227"/>
      <c r="T114" s="227"/>
      <c r="U114" s="227"/>
      <c r="V114" s="227"/>
      <c r="W114" s="227"/>
      <c r="X114" s="227"/>
      <c r="Y114" s="227"/>
      <c r="Z114" s="227"/>
    </row>
    <row r="115" spans="1:26" ht="12.75" customHeight="1">
      <c r="A115" s="174"/>
      <c r="B115" s="174"/>
      <c r="C115" s="174"/>
      <c r="D115" s="174"/>
      <c r="E115" s="174"/>
      <c r="F115" s="150"/>
      <c r="G115" s="174"/>
      <c r="H115" s="174"/>
      <c r="I115" s="174"/>
      <c r="J115" s="174"/>
      <c r="K115" s="174"/>
      <c r="L115" s="174"/>
      <c r="M115" s="174"/>
      <c r="N115" s="174"/>
      <c r="O115" s="227"/>
      <c r="P115" s="227"/>
      <c r="Q115" s="227"/>
      <c r="R115" s="227"/>
      <c r="S115" s="227"/>
      <c r="T115" s="227"/>
      <c r="U115" s="227"/>
      <c r="V115" s="227"/>
      <c r="W115" s="227"/>
      <c r="X115" s="227"/>
      <c r="Y115" s="227"/>
      <c r="Z115" s="227"/>
    </row>
    <row r="116" spans="1:26" ht="12.75" customHeight="1">
      <c r="A116" s="174"/>
      <c r="B116" s="174"/>
      <c r="C116" s="174"/>
      <c r="D116" s="174"/>
      <c r="E116" s="174"/>
      <c r="F116" s="150"/>
      <c r="G116" s="174"/>
      <c r="H116" s="174"/>
      <c r="I116" s="174"/>
      <c r="J116" s="174"/>
      <c r="K116" s="174"/>
      <c r="L116" s="174"/>
      <c r="M116" s="174"/>
      <c r="N116" s="174"/>
      <c r="O116" s="227"/>
      <c r="P116" s="227"/>
      <c r="Q116" s="227"/>
      <c r="R116" s="227"/>
      <c r="S116" s="227"/>
      <c r="T116" s="227"/>
      <c r="U116" s="227"/>
      <c r="V116" s="227"/>
      <c r="W116" s="227"/>
      <c r="X116" s="227"/>
      <c r="Y116" s="227"/>
      <c r="Z116" s="227"/>
    </row>
    <row r="117" spans="1:26" ht="12.75" customHeight="1">
      <c r="A117" s="174"/>
      <c r="B117" s="174"/>
      <c r="C117" s="174"/>
      <c r="D117" s="174"/>
      <c r="E117" s="174"/>
      <c r="F117" s="150"/>
      <c r="G117" s="174"/>
      <c r="H117" s="174"/>
      <c r="I117" s="174"/>
      <c r="J117" s="174"/>
      <c r="K117" s="174"/>
      <c r="L117" s="174"/>
      <c r="M117" s="174"/>
      <c r="N117" s="174"/>
      <c r="O117" s="227"/>
      <c r="P117" s="227"/>
      <c r="Q117" s="227"/>
      <c r="R117" s="227"/>
      <c r="S117" s="227"/>
      <c r="T117" s="227"/>
      <c r="U117" s="227"/>
      <c r="V117" s="227"/>
      <c r="W117" s="227"/>
      <c r="X117" s="227"/>
      <c r="Y117" s="227"/>
      <c r="Z117" s="227"/>
    </row>
    <row r="118" spans="1:26" ht="12.75" customHeight="1">
      <c r="A118" s="174"/>
      <c r="B118" s="174"/>
      <c r="C118" s="174"/>
      <c r="D118" s="174"/>
      <c r="E118" s="174"/>
      <c r="F118" s="150"/>
      <c r="G118" s="174"/>
      <c r="H118" s="174"/>
      <c r="I118" s="174"/>
      <c r="J118" s="174"/>
      <c r="K118" s="174"/>
      <c r="L118" s="174"/>
      <c r="M118" s="174"/>
      <c r="N118" s="174"/>
      <c r="O118" s="227"/>
      <c r="P118" s="227"/>
      <c r="Q118" s="227"/>
      <c r="R118" s="227"/>
      <c r="S118" s="227"/>
      <c r="T118" s="227"/>
      <c r="U118" s="227"/>
      <c r="V118" s="227"/>
      <c r="W118" s="227"/>
      <c r="X118" s="227"/>
      <c r="Y118" s="227"/>
      <c r="Z118" s="227"/>
    </row>
    <row r="119" spans="1:26" ht="12.75" customHeight="1">
      <c r="A119" s="174"/>
      <c r="B119" s="174"/>
      <c r="C119" s="174"/>
      <c r="D119" s="174"/>
      <c r="E119" s="174"/>
      <c r="F119" s="150"/>
      <c r="G119" s="174"/>
      <c r="H119" s="174"/>
      <c r="I119" s="174"/>
      <c r="J119" s="174"/>
      <c r="K119" s="174"/>
      <c r="L119" s="174"/>
      <c r="M119" s="174"/>
      <c r="N119" s="174"/>
      <c r="O119" s="227"/>
      <c r="P119" s="227"/>
      <c r="Q119" s="227"/>
      <c r="R119" s="227"/>
      <c r="S119" s="227"/>
      <c r="T119" s="227"/>
      <c r="U119" s="227"/>
      <c r="V119" s="227"/>
      <c r="W119" s="227"/>
      <c r="X119" s="227"/>
      <c r="Y119" s="227"/>
      <c r="Z119" s="227"/>
    </row>
    <row r="120" spans="1:26" ht="12.75" customHeight="1">
      <c r="A120" s="174"/>
      <c r="B120" s="174"/>
      <c r="C120" s="174"/>
      <c r="D120" s="174"/>
      <c r="E120" s="174"/>
      <c r="F120" s="150"/>
      <c r="G120" s="174"/>
      <c r="H120" s="174"/>
      <c r="I120" s="174"/>
      <c r="J120" s="174"/>
      <c r="K120" s="174"/>
      <c r="L120" s="174"/>
      <c r="M120" s="174"/>
      <c r="N120" s="174"/>
      <c r="O120" s="227"/>
      <c r="P120" s="227"/>
      <c r="Q120" s="227"/>
      <c r="R120" s="227"/>
      <c r="S120" s="227"/>
      <c r="T120" s="227"/>
      <c r="U120" s="227"/>
      <c r="V120" s="227"/>
      <c r="W120" s="227"/>
      <c r="X120" s="227"/>
      <c r="Y120" s="227"/>
      <c r="Z120" s="227"/>
    </row>
    <row r="121" spans="1:26" ht="12.75" customHeight="1">
      <c r="A121" s="174"/>
      <c r="B121" s="174"/>
      <c r="C121" s="174"/>
      <c r="D121" s="174"/>
      <c r="E121" s="174"/>
      <c r="F121" s="150"/>
      <c r="G121" s="174"/>
      <c r="H121" s="174"/>
      <c r="I121" s="174"/>
      <c r="J121" s="174"/>
      <c r="K121" s="174"/>
      <c r="L121" s="174"/>
      <c r="M121" s="174"/>
      <c r="N121" s="174"/>
      <c r="O121" s="227"/>
      <c r="P121" s="227"/>
      <c r="Q121" s="227"/>
      <c r="R121" s="227"/>
      <c r="S121" s="227"/>
      <c r="T121" s="227"/>
      <c r="U121" s="227"/>
      <c r="V121" s="227"/>
      <c r="W121" s="227"/>
      <c r="X121" s="227"/>
      <c r="Y121" s="227"/>
      <c r="Z121" s="227"/>
    </row>
    <row r="122" spans="1:26" ht="12.75" customHeight="1">
      <c r="A122" s="174"/>
      <c r="B122" s="174"/>
      <c r="C122" s="174"/>
      <c r="D122" s="174"/>
      <c r="E122" s="174"/>
      <c r="F122" s="150"/>
      <c r="G122" s="174"/>
      <c r="H122" s="174"/>
      <c r="I122" s="174"/>
      <c r="J122" s="174"/>
      <c r="K122" s="174"/>
      <c r="L122" s="174"/>
      <c r="M122" s="174"/>
      <c r="N122" s="174"/>
      <c r="O122" s="227"/>
      <c r="P122" s="227"/>
      <c r="Q122" s="227"/>
      <c r="R122" s="227"/>
      <c r="S122" s="227"/>
      <c r="T122" s="227"/>
      <c r="U122" s="227"/>
      <c r="V122" s="227"/>
      <c r="W122" s="227"/>
      <c r="X122" s="227"/>
      <c r="Y122" s="227"/>
      <c r="Z122" s="227"/>
    </row>
    <row r="123" spans="1:26" ht="12.75" customHeight="1">
      <c r="A123" s="174"/>
      <c r="B123" s="174"/>
      <c r="C123" s="174"/>
      <c r="D123" s="174"/>
      <c r="E123" s="174"/>
      <c r="F123" s="150"/>
      <c r="G123" s="174"/>
      <c r="H123" s="174"/>
      <c r="I123" s="174"/>
      <c r="J123" s="174"/>
      <c r="K123" s="174"/>
      <c r="L123" s="174"/>
      <c r="M123" s="174"/>
      <c r="N123" s="174"/>
      <c r="O123" s="227"/>
      <c r="P123" s="227"/>
      <c r="Q123" s="227"/>
      <c r="R123" s="227"/>
      <c r="S123" s="227"/>
      <c r="T123" s="227"/>
      <c r="U123" s="227"/>
      <c r="V123" s="227"/>
      <c r="W123" s="227"/>
      <c r="X123" s="227"/>
      <c r="Y123" s="227"/>
      <c r="Z123" s="227"/>
    </row>
    <row r="124" spans="1:26" ht="12.75" customHeight="1">
      <c r="A124" s="174"/>
      <c r="B124" s="174"/>
      <c r="C124" s="174"/>
      <c r="D124" s="174"/>
      <c r="E124" s="174"/>
      <c r="F124" s="150"/>
      <c r="G124" s="174"/>
      <c r="H124" s="174"/>
      <c r="I124" s="174"/>
      <c r="J124" s="174"/>
      <c r="K124" s="174"/>
      <c r="L124" s="174"/>
      <c r="M124" s="174"/>
      <c r="N124" s="174"/>
      <c r="O124" s="227"/>
      <c r="P124" s="227"/>
      <c r="Q124" s="227"/>
      <c r="R124" s="227"/>
      <c r="S124" s="227"/>
      <c r="T124" s="227"/>
      <c r="U124" s="227"/>
      <c r="V124" s="227"/>
      <c r="W124" s="227"/>
      <c r="X124" s="227"/>
      <c r="Y124" s="227"/>
      <c r="Z124" s="227"/>
    </row>
    <row r="125" spans="1:26" ht="12.75" customHeight="1">
      <c r="A125" s="174"/>
      <c r="B125" s="174"/>
      <c r="C125" s="174"/>
      <c r="D125" s="174"/>
      <c r="E125" s="174"/>
      <c r="F125" s="150"/>
      <c r="G125" s="174"/>
      <c r="H125" s="174"/>
      <c r="I125" s="174"/>
      <c r="J125" s="174"/>
      <c r="K125" s="174"/>
      <c r="L125" s="174"/>
      <c r="M125" s="174"/>
      <c r="N125" s="174"/>
      <c r="O125" s="227"/>
      <c r="P125" s="227"/>
      <c r="Q125" s="227"/>
      <c r="R125" s="227"/>
      <c r="S125" s="227"/>
      <c r="T125" s="227"/>
      <c r="U125" s="227"/>
      <c r="V125" s="227"/>
      <c r="W125" s="227"/>
      <c r="X125" s="227"/>
      <c r="Y125" s="227"/>
      <c r="Z125" s="227"/>
    </row>
    <row r="126" spans="1:26" ht="12.75" customHeight="1">
      <c r="A126" s="174"/>
      <c r="B126" s="174"/>
      <c r="C126" s="174"/>
      <c r="D126" s="174"/>
      <c r="E126" s="174"/>
      <c r="F126" s="150"/>
      <c r="G126" s="174"/>
      <c r="H126" s="174"/>
      <c r="I126" s="174"/>
      <c r="J126" s="174"/>
      <c r="K126" s="174"/>
      <c r="L126" s="174"/>
      <c r="M126" s="174"/>
      <c r="N126" s="174"/>
      <c r="O126" s="227"/>
      <c r="P126" s="227"/>
      <c r="Q126" s="227"/>
      <c r="R126" s="227"/>
      <c r="S126" s="227"/>
      <c r="T126" s="227"/>
      <c r="U126" s="227"/>
      <c r="V126" s="227"/>
      <c r="W126" s="227"/>
      <c r="X126" s="227"/>
      <c r="Y126" s="227"/>
      <c r="Z126" s="227"/>
    </row>
    <row r="127" spans="1:26" ht="12.75" customHeight="1">
      <c r="A127" s="174"/>
      <c r="B127" s="174"/>
      <c r="C127" s="174"/>
      <c r="D127" s="174"/>
      <c r="E127" s="174"/>
      <c r="F127" s="150"/>
      <c r="G127" s="174"/>
      <c r="H127" s="174"/>
      <c r="I127" s="174"/>
      <c r="J127" s="174"/>
      <c r="K127" s="174"/>
      <c r="L127" s="174"/>
      <c r="M127" s="174"/>
      <c r="N127" s="174"/>
      <c r="O127" s="227"/>
      <c r="P127" s="227"/>
      <c r="Q127" s="227"/>
      <c r="R127" s="227"/>
      <c r="S127" s="227"/>
      <c r="T127" s="227"/>
      <c r="U127" s="227"/>
      <c r="V127" s="227"/>
      <c r="W127" s="227"/>
      <c r="X127" s="227"/>
      <c r="Y127" s="227"/>
      <c r="Z127" s="227"/>
    </row>
    <row r="128" spans="1:26" ht="12.75" customHeight="1">
      <c r="A128" s="174"/>
      <c r="B128" s="174"/>
      <c r="C128" s="174"/>
      <c r="D128" s="174"/>
      <c r="E128" s="174"/>
      <c r="F128" s="150"/>
      <c r="G128" s="174"/>
      <c r="H128" s="174"/>
      <c r="I128" s="174"/>
      <c r="J128" s="174"/>
      <c r="K128" s="174"/>
      <c r="L128" s="174"/>
      <c r="M128" s="174"/>
      <c r="N128" s="174"/>
      <c r="O128" s="227"/>
      <c r="P128" s="227"/>
      <c r="Q128" s="227"/>
      <c r="R128" s="227"/>
      <c r="S128" s="227"/>
      <c r="T128" s="227"/>
      <c r="U128" s="227"/>
      <c r="V128" s="227"/>
      <c r="W128" s="227"/>
      <c r="X128" s="227"/>
      <c r="Y128" s="227"/>
      <c r="Z128" s="227"/>
    </row>
    <row r="129" spans="1:26" ht="12.75" customHeight="1">
      <c r="A129" s="174"/>
      <c r="B129" s="174"/>
      <c r="C129" s="174"/>
      <c r="D129" s="174"/>
      <c r="E129" s="174"/>
      <c r="F129" s="150"/>
      <c r="G129" s="174"/>
      <c r="H129" s="174"/>
      <c r="I129" s="174"/>
      <c r="J129" s="174"/>
      <c r="K129" s="174"/>
      <c r="L129" s="174"/>
      <c r="M129" s="174"/>
      <c r="N129" s="174"/>
      <c r="O129" s="227"/>
      <c r="P129" s="227"/>
      <c r="Q129" s="227"/>
      <c r="R129" s="227"/>
      <c r="S129" s="227"/>
      <c r="T129" s="227"/>
      <c r="U129" s="227"/>
      <c r="V129" s="227"/>
      <c r="W129" s="227"/>
      <c r="X129" s="227"/>
      <c r="Y129" s="227"/>
      <c r="Z129" s="227"/>
    </row>
    <row r="130" spans="1:26" ht="12.75" customHeight="1">
      <c r="A130" s="174"/>
      <c r="B130" s="174"/>
      <c r="C130" s="174"/>
      <c r="D130" s="174"/>
      <c r="E130" s="174"/>
      <c r="F130" s="150"/>
      <c r="G130" s="174"/>
      <c r="H130" s="174"/>
      <c r="I130" s="174"/>
      <c r="J130" s="174"/>
      <c r="K130" s="174"/>
      <c r="L130" s="174"/>
      <c r="M130" s="174"/>
      <c r="N130" s="174"/>
      <c r="O130" s="227"/>
      <c r="P130" s="227"/>
      <c r="Q130" s="227"/>
      <c r="R130" s="227"/>
      <c r="S130" s="227"/>
      <c r="T130" s="227"/>
      <c r="U130" s="227"/>
      <c r="V130" s="227"/>
      <c r="W130" s="227"/>
      <c r="X130" s="227"/>
      <c r="Y130" s="227"/>
      <c r="Z130" s="227"/>
    </row>
    <row r="131" spans="1:26" ht="12.75" customHeight="1">
      <c r="A131" s="174"/>
      <c r="B131" s="174"/>
      <c r="C131" s="174"/>
      <c r="D131" s="174"/>
      <c r="E131" s="174"/>
      <c r="F131" s="150"/>
      <c r="G131" s="174"/>
      <c r="H131" s="174"/>
      <c r="I131" s="174"/>
      <c r="J131" s="174"/>
      <c r="K131" s="174"/>
      <c r="L131" s="174"/>
      <c r="M131" s="174"/>
      <c r="N131" s="174"/>
      <c r="O131" s="227"/>
      <c r="P131" s="227"/>
      <c r="Q131" s="227"/>
      <c r="R131" s="227"/>
      <c r="S131" s="227"/>
      <c r="T131" s="227"/>
      <c r="U131" s="227"/>
      <c r="V131" s="227"/>
      <c r="W131" s="227"/>
      <c r="X131" s="227"/>
      <c r="Y131" s="227"/>
      <c r="Z131" s="227"/>
    </row>
    <row r="132" spans="1:26" ht="12.75" customHeight="1">
      <c r="A132" s="174"/>
      <c r="B132" s="174"/>
      <c r="C132" s="174"/>
      <c r="D132" s="174"/>
      <c r="E132" s="174"/>
      <c r="F132" s="150"/>
      <c r="G132" s="174"/>
      <c r="H132" s="174"/>
      <c r="I132" s="174"/>
      <c r="J132" s="174"/>
      <c r="K132" s="174"/>
      <c r="L132" s="174"/>
      <c r="M132" s="174"/>
      <c r="N132" s="174"/>
      <c r="O132" s="227"/>
      <c r="P132" s="227"/>
      <c r="Q132" s="227"/>
      <c r="R132" s="227"/>
      <c r="S132" s="227"/>
      <c r="T132" s="227"/>
      <c r="U132" s="227"/>
      <c r="V132" s="227"/>
      <c r="W132" s="227"/>
      <c r="X132" s="227"/>
      <c r="Y132" s="227"/>
      <c r="Z132" s="227"/>
    </row>
    <row r="133" spans="1:26" ht="12.75" customHeight="1">
      <c r="A133" s="174"/>
      <c r="B133" s="174"/>
      <c r="C133" s="174"/>
      <c r="D133" s="174"/>
      <c r="E133" s="174"/>
      <c r="F133" s="150"/>
      <c r="G133" s="174"/>
      <c r="H133" s="174"/>
      <c r="I133" s="174"/>
      <c r="J133" s="174"/>
      <c r="K133" s="174"/>
      <c r="L133" s="174"/>
      <c r="M133" s="174"/>
      <c r="N133" s="174"/>
      <c r="O133" s="227"/>
      <c r="P133" s="227"/>
      <c r="Q133" s="227"/>
      <c r="R133" s="227"/>
      <c r="S133" s="227"/>
      <c r="T133" s="227"/>
      <c r="U133" s="227"/>
      <c r="V133" s="227"/>
      <c r="W133" s="227"/>
      <c r="X133" s="227"/>
      <c r="Y133" s="227"/>
      <c r="Z133" s="227"/>
    </row>
    <row r="134" spans="1:26" ht="12.75" customHeight="1">
      <c r="A134" s="174"/>
      <c r="B134" s="174"/>
      <c r="C134" s="174"/>
      <c r="D134" s="174"/>
      <c r="E134" s="174"/>
      <c r="F134" s="150"/>
      <c r="G134" s="174"/>
      <c r="H134" s="174"/>
      <c r="I134" s="174"/>
      <c r="J134" s="174"/>
      <c r="K134" s="174"/>
      <c r="L134" s="174"/>
      <c r="M134" s="174"/>
      <c r="N134" s="174"/>
      <c r="O134" s="227"/>
      <c r="P134" s="227"/>
      <c r="Q134" s="227"/>
      <c r="R134" s="227"/>
      <c r="S134" s="227"/>
      <c r="T134" s="227"/>
      <c r="U134" s="227"/>
      <c r="V134" s="227"/>
      <c r="W134" s="227"/>
      <c r="X134" s="227"/>
      <c r="Y134" s="227"/>
      <c r="Z134" s="227"/>
    </row>
    <row r="135" spans="1:26" ht="12.75" customHeight="1">
      <c r="A135" s="174"/>
      <c r="B135" s="174"/>
      <c r="C135" s="174"/>
      <c r="D135" s="174"/>
      <c r="E135" s="174"/>
      <c r="F135" s="150"/>
      <c r="G135" s="174"/>
      <c r="H135" s="174"/>
      <c r="I135" s="174"/>
      <c r="J135" s="174"/>
      <c r="K135" s="174"/>
      <c r="L135" s="174"/>
      <c r="M135" s="174"/>
      <c r="N135" s="174"/>
      <c r="O135" s="227"/>
      <c r="P135" s="227"/>
      <c r="Q135" s="227"/>
      <c r="R135" s="227"/>
      <c r="S135" s="227"/>
      <c r="T135" s="227"/>
      <c r="U135" s="227"/>
      <c r="V135" s="227"/>
      <c r="W135" s="227"/>
      <c r="X135" s="227"/>
      <c r="Y135" s="227"/>
      <c r="Z135" s="227"/>
    </row>
    <row r="136" spans="1:26" ht="12.75" customHeight="1">
      <c r="A136" s="174"/>
      <c r="B136" s="174"/>
      <c r="C136" s="174"/>
      <c r="D136" s="174"/>
      <c r="E136" s="174"/>
      <c r="F136" s="150"/>
      <c r="G136" s="174"/>
      <c r="H136" s="174"/>
      <c r="I136" s="174"/>
      <c r="J136" s="174"/>
      <c r="K136" s="174"/>
      <c r="L136" s="174"/>
      <c r="M136" s="174"/>
      <c r="N136" s="174"/>
      <c r="O136" s="227"/>
      <c r="P136" s="227"/>
      <c r="Q136" s="227"/>
      <c r="R136" s="227"/>
      <c r="S136" s="227"/>
      <c r="T136" s="227"/>
      <c r="U136" s="227"/>
      <c r="V136" s="227"/>
      <c r="W136" s="227"/>
      <c r="X136" s="227"/>
      <c r="Y136" s="227"/>
      <c r="Z136" s="227"/>
    </row>
    <row r="137" spans="1:26" ht="12.75" customHeight="1">
      <c r="A137" s="174"/>
      <c r="B137" s="174"/>
      <c r="C137" s="174"/>
      <c r="D137" s="174"/>
      <c r="E137" s="174"/>
      <c r="F137" s="150"/>
      <c r="G137" s="174"/>
      <c r="H137" s="174"/>
      <c r="I137" s="174"/>
      <c r="J137" s="174"/>
      <c r="K137" s="174"/>
      <c r="L137" s="174"/>
      <c r="M137" s="174"/>
      <c r="N137" s="174"/>
      <c r="O137" s="227"/>
      <c r="P137" s="227"/>
      <c r="Q137" s="227"/>
      <c r="R137" s="227"/>
      <c r="S137" s="227"/>
      <c r="T137" s="227"/>
      <c r="U137" s="227"/>
      <c r="V137" s="227"/>
      <c r="W137" s="227"/>
      <c r="X137" s="227"/>
      <c r="Y137" s="227"/>
      <c r="Z137" s="227"/>
    </row>
    <row r="138" spans="1:26" ht="12.75" customHeight="1">
      <c r="A138" s="174"/>
      <c r="B138" s="174"/>
      <c r="C138" s="174"/>
      <c r="D138" s="174"/>
      <c r="E138" s="174"/>
      <c r="F138" s="150"/>
      <c r="G138" s="174"/>
      <c r="H138" s="174"/>
      <c r="I138" s="174"/>
      <c r="J138" s="174"/>
      <c r="K138" s="174"/>
      <c r="L138" s="174"/>
      <c r="M138" s="174"/>
      <c r="N138" s="174"/>
      <c r="O138" s="227"/>
      <c r="P138" s="227"/>
      <c r="Q138" s="227"/>
      <c r="R138" s="227"/>
      <c r="S138" s="227"/>
      <c r="T138" s="227"/>
      <c r="U138" s="227"/>
      <c r="V138" s="227"/>
      <c r="W138" s="227"/>
      <c r="X138" s="227"/>
      <c r="Y138" s="227"/>
      <c r="Z138" s="227"/>
    </row>
    <row r="139" spans="1:26" ht="12.75" customHeight="1">
      <c r="A139" s="174"/>
      <c r="B139" s="174"/>
      <c r="C139" s="174"/>
      <c r="D139" s="174"/>
      <c r="E139" s="174"/>
      <c r="F139" s="150"/>
      <c r="G139" s="174"/>
      <c r="H139" s="174"/>
      <c r="I139" s="174"/>
      <c r="J139" s="174"/>
      <c r="K139" s="174"/>
      <c r="L139" s="174"/>
      <c r="M139" s="174"/>
      <c r="N139" s="174"/>
      <c r="O139" s="227"/>
      <c r="P139" s="227"/>
      <c r="Q139" s="227"/>
      <c r="R139" s="227"/>
      <c r="S139" s="227"/>
      <c r="T139" s="227"/>
      <c r="U139" s="227"/>
      <c r="V139" s="227"/>
      <c r="W139" s="227"/>
      <c r="X139" s="227"/>
      <c r="Y139" s="227"/>
      <c r="Z139" s="227"/>
    </row>
    <row r="140" spans="1:26" ht="12.75" customHeight="1">
      <c r="A140" s="174"/>
      <c r="B140" s="174"/>
      <c r="C140" s="174"/>
      <c r="D140" s="174"/>
      <c r="E140" s="174"/>
      <c r="F140" s="150"/>
      <c r="G140" s="174"/>
      <c r="H140" s="174"/>
      <c r="I140" s="174"/>
      <c r="J140" s="174"/>
      <c r="K140" s="174"/>
      <c r="L140" s="174"/>
      <c r="M140" s="174"/>
      <c r="N140" s="174"/>
      <c r="O140" s="227"/>
      <c r="P140" s="227"/>
      <c r="Q140" s="227"/>
      <c r="R140" s="227"/>
      <c r="S140" s="227"/>
      <c r="T140" s="227"/>
      <c r="U140" s="227"/>
      <c r="V140" s="227"/>
      <c r="W140" s="227"/>
      <c r="X140" s="227"/>
      <c r="Y140" s="227"/>
      <c r="Z140" s="227"/>
    </row>
    <row r="141" spans="1:26" ht="12.75" customHeight="1">
      <c r="A141" s="174"/>
      <c r="B141" s="174"/>
      <c r="C141" s="174"/>
      <c r="D141" s="174"/>
      <c r="E141" s="174"/>
      <c r="F141" s="150"/>
      <c r="G141" s="174"/>
      <c r="H141" s="174"/>
      <c r="I141" s="174"/>
      <c r="J141" s="174"/>
      <c r="K141" s="174"/>
      <c r="L141" s="174"/>
      <c r="M141" s="174"/>
      <c r="N141" s="174"/>
      <c r="O141" s="227"/>
      <c r="P141" s="227"/>
      <c r="Q141" s="227"/>
      <c r="R141" s="227"/>
      <c r="S141" s="227"/>
      <c r="T141" s="227"/>
      <c r="U141" s="227"/>
      <c r="V141" s="227"/>
      <c r="W141" s="227"/>
      <c r="X141" s="227"/>
      <c r="Y141" s="227"/>
      <c r="Z141" s="227"/>
    </row>
    <row r="142" spans="1:26" ht="12.75" customHeight="1">
      <c r="A142" s="174"/>
      <c r="B142" s="174"/>
      <c r="C142" s="174"/>
      <c r="D142" s="174"/>
      <c r="E142" s="174"/>
      <c r="F142" s="150"/>
      <c r="G142" s="174"/>
      <c r="H142" s="174"/>
      <c r="I142" s="174"/>
      <c r="J142" s="174"/>
      <c r="K142" s="174"/>
      <c r="L142" s="174"/>
      <c r="M142" s="174"/>
      <c r="N142" s="174"/>
      <c r="O142" s="227"/>
      <c r="P142" s="227"/>
      <c r="Q142" s="227"/>
      <c r="R142" s="227"/>
      <c r="S142" s="227"/>
      <c r="T142" s="227"/>
      <c r="U142" s="227"/>
      <c r="V142" s="227"/>
      <c r="W142" s="227"/>
      <c r="X142" s="227"/>
      <c r="Y142" s="227"/>
      <c r="Z142" s="227"/>
    </row>
    <row r="143" spans="1:26" ht="12.75" customHeight="1">
      <c r="A143" s="174"/>
      <c r="B143" s="174"/>
      <c r="C143" s="174"/>
      <c r="D143" s="174"/>
      <c r="E143" s="174"/>
      <c r="F143" s="150"/>
      <c r="G143" s="174"/>
      <c r="H143" s="174"/>
      <c r="I143" s="174"/>
      <c r="J143" s="174"/>
      <c r="K143" s="174"/>
      <c r="L143" s="174"/>
      <c r="M143" s="174"/>
      <c r="N143" s="174"/>
      <c r="O143" s="227"/>
      <c r="P143" s="227"/>
      <c r="Q143" s="227"/>
      <c r="R143" s="227"/>
      <c r="S143" s="227"/>
      <c r="T143" s="227"/>
      <c r="U143" s="227"/>
      <c r="V143" s="227"/>
      <c r="W143" s="227"/>
      <c r="X143" s="227"/>
      <c r="Y143" s="227"/>
      <c r="Z143" s="227"/>
    </row>
    <row r="144" spans="1:26" ht="12.75" customHeight="1">
      <c r="A144" s="174"/>
      <c r="B144" s="174"/>
      <c r="C144" s="174"/>
      <c r="D144" s="174"/>
      <c r="E144" s="174"/>
      <c r="F144" s="150"/>
      <c r="G144" s="174"/>
      <c r="H144" s="174"/>
      <c r="I144" s="174"/>
      <c r="J144" s="174"/>
      <c r="K144" s="174"/>
      <c r="L144" s="174"/>
      <c r="M144" s="174"/>
      <c r="N144" s="174"/>
      <c r="O144" s="227"/>
      <c r="P144" s="227"/>
      <c r="Q144" s="227"/>
      <c r="R144" s="227"/>
      <c r="S144" s="227"/>
      <c r="T144" s="227"/>
      <c r="U144" s="227"/>
      <c r="V144" s="227"/>
      <c r="W144" s="227"/>
      <c r="X144" s="227"/>
      <c r="Y144" s="227"/>
      <c r="Z144" s="227"/>
    </row>
    <row r="145" spans="1:26" ht="12.75" customHeight="1">
      <c r="A145" s="174"/>
      <c r="B145" s="174"/>
      <c r="C145" s="174"/>
      <c r="D145" s="174"/>
      <c r="E145" s="174"/>
      <c r="F145" s="150"/>
      <c r="G145" s="174"/>
      <c r="H145" s="174"/>
      <c r="I145" s="174"/>
      <c r="J145" s="174"/>
      <c r="K145" s="174"/>
      <c r="L145" s="174"/>
      <c r="M145" s="174"/>
      <c r="N145" s="174"/>
      <c r="O145" s="227"/>
      <c r="P145" s="227"/>
      <c r="Q145" s="227"/>
      <c r="R145" s="227"/>
      <c r="S145" s="227"/>
      <c r="T145" s="227"/>
      <c r="U145" s="227"/>
      <c r="V145" s="227"/>
      <c r="W145" s="227"/>
      <c r="X145" s="227"/>
      <c r="Y145" s="227"/>
      <c r="Z145" s="227"/>
    </row>
    <row r="146" spans="1:26" ht="12.75" customHeight="1">
      <c r="A146" s="174"/>
      <c r="B146" s="174"/>
      <c r="C146" s="174"/>
      <c r="D146" s="174"/>
      <c r="E146" s="174"/>
      <c r="F146" s="150"/>
      <c r="G146" s="174"/>
      <c r="H146" s="174"/>
      <c r="I146" s="174"/>
      <c r="J146" s="174"/>
      <c r="K146" s="174"/>
      <c r="L146" s="174"/>
      <c r="M146" s="174"/>
      <c r="N146" s="174"/>
      <c r="O146" s="227"/>
      <c r="P146" s="227"/>
      <c r="Q146" s="227"/>
      <c r="R146" s="227"/>
      <c r="S146" s="227"/>
      <c r="T146" s="227"/>
      <c r="U146" s="227"/>
      <c r="V146" s="227"/>
      <c r="W146" s="227"/>
      <c r="X146" s="227"/>
      <c r="Y146" s="227"/>
      <c r="Z146" s="227"/>
    </row>
    <row r="147" spans="1:26" ht="12.75" customHeight="1">
      <c r="A147" s="174"/>
      <c r="B147" s="174"/>
      <c r="C147" s="174"/>
      <c r="D147" s="174"/>
      <c r="E147" s="174"/>
      <c r="F147" s="150"/>
      <c r="G147" s="174"/>
      <c r="H147" s="174"/>
      <c r="I147" s="174"/>
      <c r="J147" s="174"/>
      <c r="K147" s="174"/>
      <c r="L147" s="174"/>
      <c r="M147" s="174"/>
      <c r="N147" s="174"/>
      <c r="O147" s="227"/>
      <c r="P147" s="227"/>
      <c r="Q147" s="227"/>
      <c r="R147" s="227"/>
      <c r="S147" s="227"/>
      <c r="T147" s="227"/>
      <c r="U147" s="227"/>
      <c r="V147" s="227"/>
      <c r="W147" s="227"/>
      <c r="X147" s="227"/>
      <c r="Y147" s="227"/>
      <c r="Z147" s="227"/>
    </row>
    <row r="148" spans="1:26" ht="12.75" customHeight="1">
      <c r="A148" s="174"/>
      <c r="B148" s="174"/>
      <c r="C148" s="174"/>
      <c r="D148" s="174"/>
      <c r="E148" s="174"/>
      <c r="F148" s="150"/>
      <c r="G148" s="174"/>
      <c r="H148" s="174"/>
      <c r="I148" s="174"/>
      <c r="J148" s="174"/>
      <c r="K148" s="174"/>
      <c r="L148" s="174"/>
      <c r="M148" s="174"/>
      <c r="N148" s="174"/>
      <c r="O148" s="227"/>
      <c r="P148" s="227"/>
      <c r="Q148" s="227"/>
      <c r="R148" s="227"/>
      <c r="S148" s="227"/>
      <c r="T148" s="227"/>
      <c r="U148" s="227"/>
      <c r="V148" s="227"/>
      <c r="W148" s="227"/>
      <c r="X148" s="227"/>
      <c r="Y148" s="227"/>
      <c r="Z148" s="227"/>
    </row>
    <row r="149" spans="1:26" ht="12.75" customHeight="1">
      <c r="A149" s="174"/>
      <c r="B149" s="174"/>
      <c r="C149" s="174"/>
      <c r="D149" s="174"/>
      <c r="E149" s="174"/>
      <c r="F149" s="150"/>
      <c r="G149" s="174"/>
      <c r="H149" s="174"/>
      <c r="I149" s="174"/>
      <c r="J149" s="174"/>
      <c r="K149" s="174"/>
      <c r="L149" s="174"/>
      <c r="M149" s="174"/>
      <c r="N149" s="174"/>
      <c r="O149" s="227"/>
      <c r="P149" s="227"/>
      <c r="Q149" s="227"/>
      <c r="R149" s="227"/>
      <c r="S149" s="227"/>
      <c r="T149" s="227"/>
      <c r="U149" s="227"/>
      <c r="V149" s="227"/>
      <c r="W149" s="227"/>
      <c r="X149" s="227"/>
      <c r="Y149" s="227"/>
      <c r="Z149" s="227"/>
    </row>
    <row r="150" spans="1:26" ht="12.75" customHeight="1">
      <c r="A150" s="174"/>
      <c r="B150" s="174"/>
      <c r="C150" s="174"/>
      <c r="D150" s="174"/>
      <c r="E150" s="174"/>
      <c r="F150" s="150"/>
      <c r="G150" s="174"/>
      <c r="H150" s="174"/>
      <c r="I150" s="174"/>
      <c r="J150" s="174"/>
      <c r="K150" s="174"/>
      <c r="L150" s="174"/>
      <c r="M150" s="174"/>
      <c r="N150" s="174"/>
      <c r="O150" s="227"/>
      <c r="P150" s="227"/>
      <c r="Q150" s="227"/>
      <c r="R150" s="227"/>
      <c r="S150" s="227"/>
      <c r="T150" s="227"/>
      <c r="U150" s="227"/>
      <c r="V150" s="227"/>
      <c r="W150" s="227"/>
      <c r="X150" s="227"/>
      <c r="Y150" s="227"/>
      <c r="Z150" s="227"/>
    </row>
    <row r="151" spans="1:26" ht="12.75" customHeight="1">
      <c r="A151" s="174"/>
      <c r="B151" s="174"/>
      <c r="C151" s="174"/>
      <c r="D151" s="174"/>
      <c r="E151" s="174"/>
      <c r="F151" s="150"/>
      <c r="G151" s="174"/>
      <c r="H151" s="174"/>
      <c r="I151" s="174"/>
      <c r="J151" s="174"/>
      <c r="K151" s="174"/>
      <c r="L151" s="174"/>
      <c r="M151" s="174"/>
      <c r="N151" s="174"/>
      <c r="O151" s="227"/>
      <c r="P151" s="227"/>
      <c r="Q151" s="227"/>
      <c r="R151" s="227"/>
      <c r="S151" s="227"/>
      <c r="T151" s="227"/>
      <c r="U151" s="227"/>
      <c r="V151" s="227"/>
      <c r="W151" s="227"/>
      <c r="X151" s="227"/>
      <c r="Y151" s="227"/>
      <c r="Z151" s="227"/>
    </row>
    <row r="152" spans="1:26" ht="12.75" customHeight="1">
      <c r="A152" s="174"/>
      <c r="B152" s="174"/>
      <c r="C152" s="174"/>
      <c r="D152" s="174"/>
      <c r="E152" s="174"/>
      <c r="F152" s="150"/>
      <c r="G152" s="174"/>
      <c r="H152" s="174"/>
      <c r="I152" s="174"/>
      <c r="J152" s="174"/>
      <c r="K152" s="174"/>
      <c r="L152" s="174"/>
      <c r="M152" s="174"/>
      <c r="N152" s="174"/>
      <c r="O152" s="227"/>
      <c r="P152" s="227"/>
      <c r="Q152" s="227"/>
      <c r="R152" s="227"/>
      <c r="S152" s="227"/>
      <c r="T152" s="227"/>
      <c r="U152" s="227"/>
      <c r="V152" s="227"/>
      <c r="W152" s="227"/>
      <c r="X152" s="227"/>
      <c r="Y152" s="227"/>
      <c r="Z152" s="227"/>
    </row>
    <row r="153" spans="1:26" ht="12.75" customHeight="1">
      <c r="A153" s="174"/>
      <c r="B153" s="174"/>
      <c r="C153" s="174"/>
      <c r="D153" s="174"/>
      <c r="E153" s="174"/>
      <c r="F153" s="150"/>
      <c r="G153" s="174"/>
      <c r="H153" s="174"/>
      <c r="I153" s="174"/>
      <c r="J153" s="174"/>
      <c r="K153" s="174"/>
      <c r="L153" s="174"/>
      <c r="M153" s="174"/>
      <c r="N153" s="174"/>
      <c r="O153" s="227"/>
      <c r="P153" s="227"/>
      <c r="Q153" s="227"/>
      <c r="R153" s="227"/>
      <c r="S153" s="227"/>
      <c r="T153" s="227"/>
      <c r="U153" s="227"/>
      <c r="V153" s="227"/>
      <c r="W153" s="227"/>
      <c r="X153" s="227"/>
      <c r="Y153" s="227"/>
      <c r="Z153" s="227"/>
    </row>
    <row r="154" spans="1:26" ht="12.75" customHeight="1">
      <c r="A154" s="174"/>
      <c r="B154" s="174"/>
      <c r="C154" s="174"/>
      <c r="D154" s="174"/>
      <c r="E154" s="174"/>
      <c r="F154" s="150"/>
      <c r="G154" s="174"/>
      <c r="H154" s="174"/>
      <c r="I154" s="174"/>
      <c r="J154" s="174"/>
      <c r="K154" s="174"/>
      <c r="L154" s="174"/>
      <c r="M154" s="174"/>
      <c r="N154" s="174"/>
      <c r="O154" s="227"/>
      <c r="P154" s="227"/>
      <c r="Q154" s="227"/>
      <c r="R154" s="227"/>
      <c r="S154" s="227"/>
      <c r="T154" s="227"/>
      <c r="U154" s="227"/>
      <c r="V154" s="227"/>
      <c r="W154" s="227"/>
      <c r="X154" s="227"/>
      <c r="Y154" s="227"/>
      <c r="Z154" s="227"/>
    </row>
    <row r="155" spans="1:26" ht="12.75" customHeight="1">
      <c r="A155" s="174"/>
      <c r="B155" s="174"/>
      <c r="C155" s="174"/>
      <c r="D155" s="174"/>
      <c r="E155" s="174"/>
      <c r="F155" s="150"/>
      <c r="G155" s="174"/>
      <c r="H155" s="174"/>
      <c r="I155" s="174"/>
      <c r="J155" s="174"/>
      <c r="K155" s="174"/>
      <c r="L155" s="174"/>
      <c r="M155" s="174"/>
      <c r="N155" s="174"/>
      <c r="O155" s="227"/>
      <c r="P155" s="227"/>
      <c r="Q155" s="227"/>
      <c r="R155" s="227"/>
      <c r="S155" s="227"/>
      <c r="T155" s="227"/>
      <c r="U155" s="227"/>
      <c r="V155" s="227"/>
      <c r="W155" s="227"/>
      <c r="X155" s="227"/>
      <c r="Y155" s="227"/>
      <c r="Z155" s="227"/>
    </row>
    <row r="156" spans="1:26" ht="12.75" customHeight="1">
      <c r="A156" s="174"/>
      <c r="B156" s="174"/>
      <c r="C156" s="174"/>
      <c r="D156" s="174"/>
      <c r="E156" s="174"/>
      <c r="F156" s="150"/>
      <c r="G156" s="174"/>
      <c r="H156" s="174"/>
      <c r="I156" s="174"/>
      <c r="J156" s="174"/>
      <c r="K156" s="174"/>
      <c r="L156" s="174"/>
      <c r="M156" s="174"/>
      <c r="N156" s="174"/>
      <c r="O156" s="227"/>
      <c r="P156" s="227"/>
      <c r="Q156" s="227"/>
      <c r="R156" s="227"/>
      <c r="S156" s="227"/>
      <c r="T156" s="227"/>
      <c r="U156" s="227"/>
      <c r="V156" s="227"/>
      <c r="W156" s="227"/>
      <c r="X156" s="227"/>
      <c r="Y156" s="227"/>
      <c r="Z156" s="227"/>
    </row>
    <row r="157" spans="1:26" ht="12.75" customHeight="1">
      <c r="A157" s="174"/>
      <c r="B157" s="174"/>
      <c r="C157" s="174"/>
      <c r="D157" s="174"/>
      <c r="E157" s="174"/>
      <c r="F157" s="150"/>
      <c r="G157" s="174"/>
      <c r="H157" s="174"/>
      <c r="I157" s="174"/>
      <c r="J157" s="174"/>
      <c r="K157" s="174"/>
      <c r="L157" s="174"/>
      <c r="M157" s="174"/>
      <c r="N157" s="174"/>
      <c r="O157" s="227"/>
      <c r="P157" s="227"/>
      <c r="Q157" s="227"/>
      <c r="R157" s="227"/>
      <c r="S157" s="227"/>
      <c r="T157" s="227"/>
      <c r="U157" s="227"/>
      <c r="V157" s="227"/>
      <c r="W157" s="227"/>
      <c r="X157" s="227"/>
      <c r="Y157" s="227"/>
      <c r="Z157" s="227"/>
    </row>
    <row r="158" spans="1:26" ht="12.75" customHeight="1">
      <c r="A158" s="174"/>
      <c r="B158" s="174"/>
      <c r="C158" s="174"/>
      <c r="D158" s="174"/>
      <c r="E158" s="174"/>
      <c r="F158" s="150"/>
      <c r="G158" s="174"/>
      <c r="H158" s="174"/>
      <c r="I158" s="174"/>
      <c r="J158" s="174"/>
      <c r="K158" s="174"/>
      <c r="L158" s="174"/>
      <c r="M158" s="174"/>
      <c r="N158" s="174"/>
      <c r="O158" s="227"/>
      <c r="P158" s="227"/>
      <c r="Q158" s="227"/>
      <c r="R158" s="227"/>
      <c r="S158" s="227"/>
      <c r="T158" s="227"/>
      <c r="U158" s="227"/>
      <c r="V158" s="227"/>
      <c r="W158" s="227"/>
      <c r="X158" s="227"/>
      <c r="Y158" s="227"/>
      <c r="Z158" s="227"/>
    </row>
    <row r="159" spans="1:26" ht="12.75" customHeight="1">
      <c r="A159" s="174"/>
      <c r="B159" s="174"/>
      <c r="C159" s="174"/>
      <c r="D159" s="174"/>
      <c r="E159" s="174"/>
      <c r="F159" s="150"/>
      <c r="G159" s="174"/>
      <c r="H159" s="174"/>
      <c r="I159" s="174"/>
      <c r="J159" s="174"/>
      <c r="K159" s="174"/>
      <c r="L159" s="174"/>
      <c r="M159" s="174"/>
      <c r="N159" s="174"/>
      <c r="O159" s="227"/>
      <c r="P159" s="227"/>
      <c r="Q159" s="227"/>
      <c r="R159" s="227"/>
      <c r="S159" s="227"/>
      <c r="T159" s="227"/>
      <c r="U159" s="227"/>
      <c r="V159" s="227"/>
      <c r="W159" s="227"/>
      <c r="X159" s="227"/>
      <c r="Y159" s="227"/>
      <c r="Z159" s="227"/>
    </row>
    <row r="160" spans="1:26" ht="12.75" customHeight="1">
      <c r="A160" s="174"/>
      <c r="B160" s="174"/>
      <c r="C160" s="174"/>
      <c r="D160" s="174"/>
      <c r="E160" s="174"/>
      <c r="F160" s="150"/>
      <c r="G160" s="174"/>
      <c r="H160" s="174"/>
      <c r="I160" s="174"/>
      <c r="J160" s="174"/>
      <c r="K160" s="174"/>
      <c r="L160" s="174"/>
      <c r="M160" s="174"/>
      <c r="N160" s="174"/>
      <c r="O160" s="227"/>
      <c r="P160" s="227"/>
      <c r="Q160" s="227"/>
      <c r="R160" s="227"/>
      <c r="S160" s="227"/>
      <c r="T160" s="227"/>
      <c r="U160" s="227"/>
      <c r="V160" s="227"/>
      <c r="W160" s="227"/>
      <c r="X160" s="227"/>
      <c r="Y160" s="227"/>
      <c r="Z160" s="227"/>
    </row>
    <row r="161" spans="1:26" ht="12.75" customHeight="1">
      <c r="A161" s="174"/>
      <c r="B161" s="174"/>
      <c r="C161" s="174"/>
      <c r="D161" s="174"/>
      <c r="E161" s="174"/>
      <c r="F161" s="150"/>
      <c r="G161" s="174"/>
      <c r="H161" s="174"/>
      <c r="I161" s="174"/>
      <c r="J161" s="174"/>
      <c r="K161" s="174"/>
      <c r="L161" s="174"/>
      <c r="M161" s="174"/>
      <c r="N161" s="174"/>
      <c r="O161" s="227"/>
      <c r="P161" s="227"/>
      <c r="Q161" s="227"/>
      <c r="R161" s="227"/>
      <c r="S161" s="227"/>
      <c r="T161" s="227"/>
      <c r="U161" s="227"/>
      <c r="V161" s="227"/>
      <c r="W161" s="227"/>
      <c r="X161" s="227"/>
      <c r="Y161" s="227"/>
      <c r="Z161" s="227"/>
    </row>
    <row r="162" spans="1:26" ht="12.75" customHeight="1">
      <c r="A162" s="174"/>
      <c r="B162" s="174"/>
      <c r="C162" s="174"/>
      <c r="D162" s="174"/>
      <c r="E162" s="174"/>
      <c r="F162" s="150"/>
      <c r="G162" s="174"/>
      <c r="H162" s="174"/>
      <c r="I162" s="174"/>
      <c r="J162" s="174"/>
      <c r="K162" s="174"/>
      <c r="L162" s="174"/>
      <c r="M162" s="174"/>
      <c r="N162" s="174"/>
      <c r="O162" s="227"/>
      <c r="P162" s="227"/>
      <c r="Q162" s="227"/>
      <c r="R162" s="227"/>
      <c r="S162" s="227"/>
      <c r="T162" s="227"/>
      <c r="U162" s="227"/>
      <c r="V162" s="227"/>
      <c r="W162" s="227"/>
      <c r="X162" s="227"/>
      <c r="Y162" s="227"/>
      <c r="Z162" s="227"/>
    </row>
    <row r="163" spans="1:26" ht="12.75" customHeight="1">
      <c r="A163" s="174"/>
      <c r="B163" s="174"/>
      <c r="C163" s="174"/>
      <c r="D163" s="174"/>
      <c r="E163" s="174"/>
      <c r="F163" s="150"/>
      <c r="G163" s="174"/>
      <c r="H163" s="174"/>
      <c r="I163" s="174"/>
      <c r="J163" s="174"/>
      <c r="K163" s="174"/>
      <c r="L163" s="174"/>
      <c r="M163" s="174"/>
      <c r="N163" s="174"/>
      <c r="O163" s="227"/>
      <c r="P163" s="227"/>
      <c r="Q163" s="227"/>
      <c r="R163" s="227"/>
      <c r="S163" s="227"/>
      <c r="T163" s="227"/>
      <c r="U163" s="227"/>
      <c r="V163" s="227"/>
      <c r="W163" s="227"/>
      <c r="X163" s="227"/>
      <c r="Y163" s="227"/>
      <c r="Z163" s="227"/>
    </row>
    <row r="164" spans="1:26" ht="12.75" customHeight="1">
      <c r="A164" s="174"/>
      <c r="B164" s="174"/>
      <c r="C164" s="174"/>
      <c r="D164" s="174"/>
      <c r="E164" s="174"/>
      <c r="F164" s="150"/>
      <c r="G164" s="174"/>
      <c r="H164" s="174"/>
      <c r="I164" s="174"/>
      <c r="J164" s="174"/>
      <c r="K164" s="174"/>
      <c r="L164" s="174"/>
      <c r="M164" s="174"/>
      <c r="N164" s="174"/>
      <c r="O164" s="227"/>
      <c r="P164" s="227"/>
      <c r="Q164" s="227"/>
      <c r="R164" s="227"/>
      <c r="S164" s="227"/>
      <c r="T164" s="227"/>
      <c r="U164" s="227"/>
      <c r="V164" s="227"/>
      <c r="W164" s="227"/>
      <c r="X164" s="227"/>
      <c r="Y164" s="227"/>
      <c r="Z164" s="227"/>
    </row>
    <row r="165" spans="1:26" ht="12.75" customHeight="1">
      <c r="A165" s="174"/>
      <c r="B165" s="174"/>
      <c r="C165" s="174"/>
      <c r="D165" s="174"/>
      <c r="E165" s="174"/>
      <c r="F165" s="150"/>
      <c r="G165" s="174"/>
      <c r="H165" s="174"/>
      <c r="I165" s="174"/>
      <c r="J165" s="174"/>
      <c r="K165" s="174"/>
      <c r="L165" s="174"/>
      <c r="M165" s="174"/>
      <c r="N165" s="174"/>
      <c r="O165" s="227"/>
      <c r="P165" s="227"/>
      <c r="Q165" s="227"/>
      <c r="R165" s="227"/>
      <c r="S165" s="227"/>
      <c r="T165" s="227"/>
      <c r="U165" s="227"/>
      <c r="V165" s="227"/>
      <c r="W165" s="227"/>
      <c r="X165" s="227"/>
      <c r="Y165" s="227"/>
      <c r="Z165" s="227"/>
    </row>
    <row r="166" spans="1:26" ht="12.75" customHeight="1">
      <c r="A166" s="174"/>
      <c r="B166" s="174"/>
      <c r="C166" s="174"/>
      <c r="D166" s="174"/>
      <c r="E166" s="174"/>
      <c r="F166" s="150"/>
      <c r="G166" s="174"/>
      <c r="H166" s="174"/>
      <c r="I166" s="174"/>
      <c r="J166" s="174"/>
      <c r="K166" s="174"/>
      <c r="L166" s="174"/>
      <c r="M166" s="174"/>
      <c r="N166" s="174"/>
      <c r="O166" s="227"/>
      <c r="P166" s="227"/>
      <c r="Q166" s="227"/>
      <c r="R166" s="227"/>
      <c r="S166" s="227"/>
      <c r="T166" s="227"/>
      <c r="U166" s="227"/>
      <c r="V166" s="227"/>
      <c r="W166" s="227"/>
      <c r="X166" s="227"/>
      <c r="Y166" s="227"/>
      <c r="Z166" s="227"/>
    </row>
    <row r="167" spans="1:26" ht="12.75" customHeight="1">
      <c r="A167" s="174"/>
      <c r="B167" s="174"/>
      <c r="C167" s="174"/>
      <c r="D167" s="174"/>
      <c r="E167" s="174"/>
      <c r="F167" s="150"/>
      <c r="G167" s="174"/>
      <c r="H167" s="174"/>
      <c r="I167" s="174"/>
      <c r="J167" s="174"/>
      <c r="K167" s="174"/>
      <c r="L167" s="174"/>
      <c r="M167" s="174"/>
      <c r="N167" s="174"/>
      <c r="O167" s="227"/>
      <c r="P167" s="227"/>
      <c r="Q167" s="227"/>
      <c r="R167" s="227"/>
      <c r="S167" s="227"/>
      <c r="T167" s="227"/>
      <c r="U167" s="227"/>
      <c r="V167" s="227"/>
      <c r="W167" s="227"/>
      <c r="X167" s="227"/>
      <c r="Y167" s="227"/>
      <c r="Z167" s="227"/>
    </row>
    <row r="168" spans="1:26" ht="12.75" customHeight="1">
      <c r="A168" s="174"/>
      <c r="B168" s="174"/>
      <c r="C168" s="174"/>
      <c r="D168" s="174"/>
      <c r="E168" s="174"/>
      <c r="F168" s="150"/>
      <c r="G168" s="174"/>
      <c r="H168" s="174"/>
      <c r="I168" s="174"/>
      <c r="J168" s="174"/>
      <c r="K168" s="174"/>
      <c r="L168" s="174"/>
      <c r="M168" s="174"/>
      <c r="N168" s="174"/>
      <c r="O168" s="227"/>
      <c r="P168" s="227"/>
      <c r="Q168" s="227"/>
      <c r="R168" s="227"/>
      <c r="S168" s="227"/>
      <c r="T168" s="227"/>
      <c r="U168" s="227"/>
      <c r="V168" s="227"/>
      <c r="W168" s="227"/>
      <c r="X168" s="227"/>
      <c r="Y168" s="227"/>
      <c r="Z168" s="227"/>
    </row>
    <row r="169" spans="1:26" ht="12.75" customHeight="1">
      <c r="A169" s="174"/>
      <c r="B169" s="174"/>
      <c r="C169" s="174"/>
      <c r="D169" s="174"/>
      <c r="E169" s="174"/>
      <c r="F169" s="150"/>
      <c r="G169" s="174"/>
      <c r="H169" s="174"/>
      <c r="I169" s="174"/>
      <c r="J169" s="174"/>
      <c r="K169" s="174"/>
      <c r="L169" s="174"/>
      <c r="M169" s="174"/>
      <c r="N169" s="174"/>
      <c r="O169" s="227"/>
      <c r="P169" s="227"/>
      <c r="Q169" s="227"/>
      <c r="R169" s="227"/>
      <c r="S169" s="227"/>
      <c r="T169" s="227"/>
      <c r="U169" s="227"/>
      <c r="V169" s="227"/>
      <c r="W169" s="227"/>
      <c r="X169" s="227"/>
      <c r="Y169" s="227"/>
      <c r="Z169" s="227"/>
    </row>
    <row r="170" spans="1:26" ht="12.75" customHeight="1">
      <c r="A170" s="174"/>
      <c r="B170" s="174"/>
      <c r="C170" s="174"/>
      <c r="D170" s="174"/>
      <c r="E170" s="174"/>
      <c r="F170" s="150"/>
      <c r="G170" s="174"/>
      <c r="H170" s="174"/>
      <c r="I170" s="174"/>
      <c r="J170" s="174"/>
      <c r="K170" s="174"/>
      <c r="L170" s="174"/>
      <c r="M170" s="174"/>
      <c r="N170" s="174"/>
      <c r="O170" s="227"/>
      <c r="P170" s="227"/>
      <c r="Q170" s="227"/>
      <c r="R170" s="227"/>
      <c r="S170" s="227"/>
      <c r="T170" s="227"/>
      <c r="U170" s="227"/>
      <c r="V170" s="227"/>
      <c r="W170" s="227"/>
      <c r="X170" s="227"/>
      <c r="Y170" s="227"/>
      <c r="Z170" s="227"/>
    </row>
    <row r="171" spans="1:26" ht="12.75" customHeight="1">
      <c r="A171" s="174"/>
      <c r="B171" s="174"/>
      <c r="C171" s="174"/>
      <c r="D171" s="174"/>
      <c r="E171" s="174"/>
      <c r="F171" s="150"/>
      <c r="G171" s="174"/>
      <c r="H171" s="174"/>
      <c r="I171" s="174"/>
      <c r="J171" s="174"/>
      <c r="K171" s="174"/>
      <c r="L171" s="174"/>
      <c r="M171" s="174"/>
      <c r="N171" s="174"/>
      <c r="O171" s="227"/>
      <c r="P171" s="227"/>
      <c r="Q171" s="227"/>
      <c r="R171" s="227"/>
      <c r="S171" s="227"/>
      <c r="T171" s="227"/>
      <c r="U171" s="227"/>
      <c r="V171" s="227"/>
      <c r="W171" s="227"/>
      <c r="X171" s="227"/>
      <c r="Y171" s="227"/>
      <c r="Z171" s="227"/>
    </row>
    <row r="172" spans="1:26" ht="12.75" customHeight="1">
      <c r="A172" s="174"/>
      <c r="B172" s="174"/>
      <c r="C172" s="174"/>
      <c r="D172" s="174"/>
      <c r="E172" s="174"/>
      <c r="F172" s="150"/>
      <c r="G172" s="174"/>
      <c r="H172" s="174"/>
      <c r="I172" s="174"/>
      <c r="J172" s="174"/>
      <c r="K172" s="174"/>
      <c r="L172" s="174"/>
      <c r="M172" s="174"/>
      <c r="N172" s="174"/>
      <c r="O172" s="227"/>
      <c r="P172" s="227"/>
      <c r="Q172" s="227"/>
      <c r="R172" s="227"/>
      <c r="S172" s="227"/>
      <c r="T172" s="227"/>
      <c r="U172" s="227"/>
      <c r="V172" s="227"/>
      <c r="W172" s="227"/>
      <c r="X172" s="227"/>
      <c r="Y172" s="227"/>
      <c r="Z172" s="227"/>
    </row>
    <row r="173" spans="1:26" ht="12.75" customHeight="1">
      <c r="A173" s="174"/>
      <c r="B173" s="174"/>
      <c r="C173" s="174"/>
      <c r="D173" s="174"/>
      <c r="E173" s="174"/>
      <c r="F173" s="150"/>
      <c r="G173" s="174"/>
      <c r="H173" s="174"/>
      <c r="I173" s="174"/>
      <c r="J173" s="174"/>
      <c r="K173" s="174"/>
      <c r="L173" s="174"/>
      <c r="M173" s="174"/>
      <c r="N173" s="174"/>
      <c r="O173" s="227"/>
      <c r="P173" s="227"/>
      <c r="Q173" s="227"/>
      <c r="R173" s="227"/>
      <c r="S173" s="227"/>
      <c r="T173" s="227"/>
      <c r="U173" s="227"/>
      <c r="V173" s="227"/>
      <c r="W173" s="227"/>
      <c r="X173" s="227"/>
      <c r="Y173" s="227"/>
      <c r="Z173" s="227"/>
    </row>
    <row r="174" spans="1:26" ht="12.75" customHeight="1">
      <c r="A174" s="174"/>
      <c r="B174" s="174"/>
      <c r="C174" s="174"/>
      <c r="D174" s="174"/>
      <c r="E174" s="174"/>
      <c r="F174" s="150"/>
      <c r="G174" s="174"/>
      <c r="H174" s="174"/>
      <c r="I174" s="174"/>
      <c r="J174" s="174"/>
      <c r="K174" s="174"/>
      <c r="L174" s="174"/>
      <c r="M174" s="174"/>
      <c r="N174" s="174"/>
      <c r="O174" s="227"/>
      <c r="P174" s="227"/>
      <c r="Q174" s="227"/>
      <c r="R174" s="227"/>
      <c r="S174" s="227"/>
      <c r="T174" s="227"/>
      <c r="U174" s="227"/>
      <c r="V174" s="227"/>
      <c r="W174" s="227"/>
      <c r="X174" s="227"/>
      <c r="Y174" s="227"/>
      <c r="Z174" s="227"/>
    </row>
    <row r="175" spans="1:26" ht="12.75" customHeight="1">
      <c r="A175" s="174"/>
      <c r="B175" s="174"/>
      <c r="C175" s="174"/>
      <c r="D175" s="174"/>
      <c r="E175" s="174"/>
      <c r="F175" s="150"/>
      <c r="G175" s="174"/>
      <c r="H175" s="174"/>
      <c r="I175" s="174"/>
      <c r="J175" s="174"/>
      <c r="K175" s="174"/>
      <c r="L175" s="174"/>
      <c r="M175" s="174"/>
      <c r="N175" s="174"/>
      <c r="O175" s="227"/>
      <c r="P175" s="227"/>
      <c r="Q175" s="227"/>
      <c r="R175" s="227"/>
      <c r="S175" s="227"/>
      <c r="T175" s="227"/>
      <c r="U175" s="227"/>
      <c r="V175" s="227"/>
      <c r="W175" s="227"/>
      <c r="X175" s="227"/>
      <c r="Y175" s="227"/>
      <c r="Z175" s="227"/>
    </row>
    <row r="176" spans="1:26" ht="12.75" customHeight="1">
      <c r="A176" s="174"/>
      <c r="B176" s="174"/>
      <c r="C176" s="174"/>
      <c r="D176" s="174"/>
      <c r="E176" s="174"/>
      <c r="F176" s="150"/>
      <c r="G176" s="174"/>
      <c r="H176" s="174"/>
      <c r="I176" s="174"/>
      <c r="J176" s="174"/>
      <c r="K176" s="174"/>
      <c r="L176" s="174"/>
      <c r="M176" s="174"/>
      <c r="N176" s="174"/>
      <c r="O176" s="227"/>
      <c r="P176" s="227"/>
      <c r="Q176" s="227"/>
      <c r="R176" s="227"/>
      <c r="S176" s="227"/>
      <c r="T176" s="227"/>
      <c r="U176" s="227"/>
      <c r="V176" s="227"/>
      <c r="W176" s="227"/>
      <c r="X176" s="227"/>
      <c r="Y176" s="227"/>
      <c r="Z176" s="227"/>
    </row>
    <row r="177" spans="1:26" ht="12.75" customHeight="1">
      <c r="A177" s="174"/>
      <c r="B177" s="174"/>
      <c r="C177" s="174"/>
      <c r="D177" s="174"/>
      <c r="E177" s="174"/>
      <c r="F177" s="150"/>
      <c r="G177" s="174"/>
      <c r="H177" s="174"/>
      <c r="I177" s="174"/>
      <c r="J177" s="174"/>
      <c r="K177" s="174"/>
      <c r="L177" s="174"/>
      <c r="M177" s="174"/>
      <c r="N177" s="174"/>
      <c r="O177" s="227"/>
      <c r="P177" s="227"/>
      <c r="Q177" s="227"/>
      <c r="R177" s="227"/>
      <c r="S177" s="227"/>
      <c r="T177" s="227"/>
      <c r="U177" s="227"/>
      <c r="V177" s="227"/>
      <c r="W177" s="227"/>
      <c r="X177" s="227"/>
      <c r="Y177" s="227"/>
      <c r="Z177" s="227"/>
    </row>
    <row r="178" spans="1:26" ht="12.75" customHeight="1">
      <c r="A178" s="174"/>
      <c r="B178" s="174"/>
      <c r="C178" s="174"/>
      <c r="D178" s="174"/>
      <c r="E178" s="174"/>
      <c r="F178" s="150"/>
      <c r="G178" s="174"/>
      <c r="H178" s="174"/>
      <c r="I178" s="174"/>
      <c r="J178" s="174"/>
      <c r="K178" s="174"/>
      <c r="L178" s="174"/>
      <c r="M178" s="174"/>
      <c r="N178" s="174"/>
      <c r="O178" s="227"/>
      <c r="P178" s="227"/>
      <c r="Q178" s="227"/>
      <c r="R178" s="227"/>
      <c r="S178" s="227"/>
      <c r="T178" s="227"/>
      <c r="U178" s="227"/>
      <c r="V178" s="227"/>
      <c r="W178" s="227"/>
      <c r="X178" s="227"/>
      <c r="Y178" s="227"/>
      <c r="Z178" s="227"/>
    </row>
    <row r="179" spans="1:26" ht="12.75" customHeight="1">
      <c r="A179" s="174"/>
      <c r="B179" s="174"/>
      <c r="C179" s="174"/>
      <c r="D179" s="174"/>
      <c r="E179" s="174"/>
      <c r="F179" s="150"/>
      <c r="G179" s="174"/>
      <c r="H179" s="174"/>
      <c r="I179" s="174"/>
      <c r="J179" s="174"/>
      <c r="K179" s="174"/>
      <c r="L179" s="174"/>
      <c r="M179" s="174"/>
      <c r="N179" s="174"/>
      <c r="O179" s="227"/>
      <c r="P179" s="227"/>
      <c r="Q179" s="227"/>
      <c r="R179" s="227"/>
      <c r="S179" s="227"/>
      <c r="T179" s="227"/>
      <c r="U179" s="227"/>
      <c r="V179" s="227"/>
      <c r="W179" s="227"/>
      <c r="X179" s="227"/>
      <c r="Y179" s="227"/>
      <c r="Z179" s="227"/>
    </row>
    <row r="180" spans="1:26" ht="12.75" customHeight="1">
      <c r="A180" s="174"/>
      <c r="B180" s="174"/>
      <c r="C180" s="174"/>
      <c r="D180" s="174"/>
      <c r="E180" s="174"/>
      <c r="F180" s="150"/>
      <c r="G180" s="174"/>
      <c r="H180" s="174"/>
      <c r="I180" s="174"/>
      <c r="J180" s="174"/>
      <c r="K180" s="174"/>
      <c r="L180" s="174"/>
      <c r="M180" s="174"/>
      <c r="N180" s="174"/>
      <c r="O180" s="227"/>
      <c r="P180" s="227"/>
      <c r="Q180" s="227"/>
      <c r="R180" s="227"/>
      <c r="S180" s="227"/>
      <c r="T180" s="227"/>
      <c r="U180" s="227"/>
      <c r="V180" s="227"/>
      <c r="W180" s="227"/>
      <c r="X180" s="227"/>
      <c r="Y180" s="227"/>
      <c r="Z180" s="227"/>
    </row>
    <row r="181" spans="1:26" ht="12.75" customHeight="1">
      <c r="A181" s="174"/>
      <c r="B181" s="174"/>
      <c r="C181" s="174"/>
      <c r="D181" s="174"/>
      <c r="E181" s="174"/>
      <c r="F181" s="150"/>
      <c r="G181" s="174"/>
      <c r="H181" s="174"/>
      <c r="I181" s="174"/>
      <c r="J181" s="174"/>
      <c r="K181" s="174"/>
      <c r="L181" s="174"/>
      <c r="M181" s="174"/>
      <c r="N181" s="174"/>
      <c r="O181" s="227"/>
      <c r="P181" s="227"/>
      <c r="Q181" s="227"/>
      <c r="R181" s="227"/>
      <c r="S181" s="227"/>
      <c r="T181" s="227"/>
      <c r="U181" s="227"/>
      <c r="V181" s="227"/>
      <c r="W181" s="227"/>
      <c r="X181" s="227"/>
      <c r="Y181" s="227"/>
      <c r="Z181" s="227"/>
    </row>
    <row r="182" spans="1:26" ht="12.75" customHeight="1">
      <c r="A182" s="174"/>
      <c r="B182" s="174"/>
      <c r="C182" s="174"/>
      <c r="D182" s="174"/>
      <c r="E182" s="174"/>
      <c r="F182" s="150"/>
      <c r="G182" s="174"/>
      <c r="H182" s="174"/>
      <c r="I182" s="174"/>
      <c r="J182" s="174"/>
      <c r="K182" s="174"/>
      <c r="L182" s="174"/>
      <c r="M182" s="174"/>
      <c r="N182" s="174"/>
      <c r="O182" s="227"/>
      <c r="P182" s="227"/>
      <c r="Q182" s="227"/>
      <c r="R182" s="227"/>
      <c r="S182" s="227"/>
      <c r="T182" s="227"/>
      <c r="U182" s="227"/>
      <c r="V182" s="227"/>
      <c r="W182" s="227"/>
      <c r="X182" s="227"/>
      <c r="Y182" s="227"/>
      <c r="Z182" s="227"/>
    </row>
    <row r="183" spans="1:26" ht="12.75" customHeight="1">
      <c r="A183" s="174"/>
      <c r="B183" s="174"/>
      <c r="C183" s="174"/>
      <c r="D183" s="174"/>
      <c r="E183" s="174"/>
      <c r="F183" s="150"/>
      <c r="G183" s="174"/>
      <c r="H183" s="174"/>
      <c r="I183" s="174"/>
      <c r="J183" s="174"/>
      <c r="K183" s="174"/>
      <c r="L183" s="174"/>
      <c r="M183" s="174"/>
      <c r="N183" s="174"/>
      <c r="O183" s="227"/>
      <c r="P183" s="227"/>
      <c r="Q183" s="227"/>
      <c r="R183" s="227"/>
      <c r="S183" s="227"/>
      <c r="T183" s="227"/>
      <c r="U183" s="227"/>
      <c r="V183" s="227"/>
      <c r="W183" s="227"/>
      <c r="X183" s="227"/>
      <c r="Y183" s="227"/>
      <c r="Z183" s="227"/>
    </row>
    <row r="184" spans="1:26" ht="12.75" customHeight="1">
      <c r="A184" s="174"/>
      <c r="B184" s="174"/>
      <c r="C184" s="174"/>
      <c r="D184" s="174"/>
      <c r="E184" s="174"/>
      <c r="F184" s="150"/>
      <c r="G184" s="174"/>
      <c r="H184" s="174"/>
      <c r="I184" s="174"/>
      <c r="J184" s="174"/>
      <c r="K184" s="174"/>
      <c r="L184" s="174"/>
      <c r="M184" s="174"/>
      <c r="N184" s="174"/>
      <c r="O184" s="227"/>
      <c r="P184" s="227"/>
      <c r="Q184" s="227"/>
      <c r="R184" s="227"/>
      <c r="S184" s="227"/>
      <c r="T184" s="227"/>
      <c r="U184" s="227"/>
      <c r="V184" s="227"/>
      <c r="W184" s="227"/>
      <c r="X184" s="227"/>
      <c r="Y184" s="227"/>
      <c r="Z184" s="227"/>
    </row>
    <row r="185" spans="1:26" ht="12.75" customHeight="1">
      <c r="A185" s="174"/>
      <c r="B185" s="174"/>
      <c r="C185" s="174"/>
      <c r="D185" s="174"/>
      <c r="E185" s="174"/>
      <c r="F185" s="150"/>
      <c r="G185" s="174"/>
      <c r="H185" s="174"/>
      <c r="I185" s="174"/>
      <c r="J185" s="174"/>
      <c r="K185" s="174"/>
      <c r="L185" s="174"/>
      <c r="M185" s="174"/>
      <c r="N185" s="174"/>
      <c r="O185" s="227"/>
      <c r="P185" s="227"/>
      <c r="Q185" s="227"/>
      <c r="R185" s="227"/>
      <c r="S185" s="227"/>
      <c r="T185" s="227"/>
      <c r="U185" s="227"/>
      <c r="V185" s="227"/>
      <c r="W185" s="227"/>
      <c r="X185" s="227"/>
      <c r="Y185" s="227"/>
      <c r="Z185" s="227"/>
    </row>
    <row r="186" spans="1:26" ht="12.75" customHeight="1">
      <c r="A186" s="174"/>
      <c r="B186" s="174"/>
      <c r="C186" s="174"/>
      <c r="D186" s="174"/>
      <c r="E186" s="174"/>
      <c r="F186" s="150"/>
      <c r="G186" s="174"/>
      <c r="H186" s="174"/>
      <c r="I186" s="174"/>
      <c r="J186" s="174"/>
      <c r="K186" s="174"/>
      <c r="L186" s="174"/>
      <c r="M186" s="174"/>
      <c r="N186" s="174"/>
      <c r="O186" s="227"/>
      <c r="P186" s="227"/>
      <c r="Q186" s="227"/>
      <c r="R186" s="227"/>
      <c r="S186" s="227"/>
      <c r="T186" s="227"/>
      <c r="U186" s="227"/>
      <c r="V186" s="227"/>
      <c r="W186" s="227"/>
      <c r="X186" s="227"/>
      <c r="Y186" s="227"/>
      <c r="Z186" s="227"/>
    </row>
    <row r="187" spans="1:26" ht="12.75" customHeight="1">
      <c r="A187" s="174"/>
      <c r="B187" s="174"/>
      <c r="C187" s="174"/>
      <c r="D187" s="174"/>
      <c r="E187" s="174"/>
      <c r="F187" s="150"/>
      <c r="G187" s="174"/>
      <c r="H187" s="174"/>
      <c r="I187" s="174"/>
      <c r="J187" s="174"/>
      <c r="K187" s="174"/>
      <c r="L187" s="174"/>
      <c r="M187" s="174"/>
      <c r="N187" s="174"/>
      <c r="O187" s="227"/>
      <c r="P187" s="227"/>
      <c r="Q187" s="227"/>
      <c r="R187" s="227"/>
      <c r="S187" s="227"/>
      <c r="T187" s="227"/>
      <c r="U187" s="227"/>
      <c r="V187" s="227"/>
      <c r="W187" s="227"/>
      <c r="X187" s="227"/>
      <c r="Y187" s="227"/>
      <c r="Z187" s="227"/>
    </row>
    <row r="188" spans="1:26" ht="12.75" customHeight="1">
      <c r="A188" s="174"/>
      <c r="B188" s="174"/>
      <c r="C188" s="174"/>
      <c r="D188" s="174"/>
      <c r="E188" s="174"/>
      <c r="F188" s="150"/>
      <c r="G188" s="174"/>
      <c r="H188" s="174"/>
      <c r="I188" s="174"/>
      <c r="J188" s="174"/>
      <c r="K188" s="174"/>
      <c r="L188" s="174"/>
      <c r="M188" s="174"/>
      <c r="N188" s="174"/>
      <c r="O188" s="227"/>
      <c r="P188" s="227"/>
      <c r="Q188" s="227"/>
      <c r="R188" s="227"/>
      <c r="S188" s="227"/>
      <c r="T188" s="227"/>
      <c r="U188" s="227"/>
      <c r="V188" s="227"/>
      <c r="W188" s="227"/>
      <c r="X188" s="227"/>
      <c r="Y188" s="227"/>
      <c r="Z188" s="227"/>
    </row>
    <row r="189" spans="1:26" ht="12.75" customHeight="1">
      <c r="A189" s="174"/>
      <c r="B189" s="174"/>
      <c r="C189" s="174"/>
      <c r="D189" s="174"/>
      <c r="E189" s="174"/>
      <c r="F189" s="150"/>
      <c r="G189" s="174"/>
      <c r="H189" s="174"/>
      <c r="I189" s="174"/>
      <c r="J189" s="174"/>
      <c r="K189" s="174"/>
      <c r="L189" s="174"/>
      <c r="M189" s="174"/>
      <c r="N189" s="174"/>
      <c r="O189" s="227"/>
      <c r="P189" s="227"/>
      <c r="Q189" s="227"/>
      <c r="R189" s="227"/>
      <c r="S189" s="227"/>
      <c r="T189" s="227"/>
      <c r="U189" s="227"/>
      <c r="V189" s="227"/>
      <c r="W189" s="227"/>
      <c r="X189" s="227"/>
      <c r="Y189" s="227"/>
      <c r="Z189" s="227"/>
    </row>
    <row r="190" spans="1:26" ht="12.75" customHeight="1">
      <c r="A190" s="174"/>
      <c r="B190" s="174"/>
      <c r="C190" s="174"/>
      <c r="D190" s="174"/>
      <c r="E190" s="174"/>
      <c r="F190" s="150"/>
      <c r="G190" s="174"/>
      <c r="H190" s="174"/>
      <c r="I190" s="174"/>
      <c r="J190" s="174"/>
      <c r="K190" s="174"/>
      <c r="L190" s="174"/>
      <c r="M190" s="174"/>
      <c r="N190" s="174"/>
      <c r="O190" s="227"/>
      <c r="P190" s="227"/>
      <c r="Q190" s="227"/>
      <c r="R190" s="227"/>
      <c r="S190" s="227"/>
      <c r="T190" s="227"/>
      <c r="U190" s="227"/>
      <c r="V190" s="227"/>
      <c r="W190" s="227"/>
      <c r="X190" s="227"/>
      <c r="Y190" s="227"/>
      <c r="Z190" s="227"/>
    </row>
    <row r="191" spans="1:26" ht="12.75" customHeight="1">
      <c r="A191" s="174"/>
      <c r="B191" s="174"/>
      <c r="C191" s="174"/>
      <c r="D191" s="174"/>
      <c r="E191" s="174"/>
      <c r="F191" s="150"/>
      <c r="G191" s="174"/>
      <c r="H191" s="174"/>
      <c r="I191" s="174"/>
      <c r="J191" s="174"/>
      <c r="K191" s="174"/>
      <c r="L191" s="174"/>
      <c r="M191" s="174"/>
      <c r="N191" s="174"/>
      <c r="O191" s="227"/>
      <c r="P191" s="227"/>
      <c r="Q191" s="227"/>
      <c r="R191" s="227"/>
      <c r="S191" s="227"/>
      <c r="T191" s="227"/>
      <c r="U191" s="227"/>
      <c r="V191" s="227"/>
      <c r="W191" s="227"/>
      <c r="X191" s="227"/>
      <c r="Y191" s="227"/>
      <c r="Z191" s="227"/>
    </row>
    <row r="192" spans="1:26" ht="12.75" customHeight="1">
      <c r="A192" s="174"/>
      <c r="B192" s="174"/>
      <c r="C192" s="174"/>
      <c r="D192" s="174"/>
      <c r="E192" s="174"/>
      <c r="F192" s="150"/>
      <c r="G192" s="174"/>
      <c r="H192" s="174"/>
      <c r="I192" s="174"/>
      <c r="J192" s="174"/>
      <c r="K192" s="174"/>
      <c r="L192" s="174"/>
      <c r="M192" s="174"/>
      <c r="N192" s="174"/>
      <c r="O192" s="227"/>
      <c r="P192" s="227"/>
      <c r="Q192" s="227"/>
      <c r="R192" s="227"/>
      <c r="S192" s="227"/>
      <c r="T192" s="227"/>
      <c r="U192" s="227"/>
      <c r="V192" s="227"/>
      <c r="W192" s="227"/>
      <c r="X192" s="227"/>
      <c r="Y192" s="227"/>
      <c r="Z192" s="227"/>
    </row>
    <row r="193" spans="1:26" ht="12.75" customHeight="1">
      <c r="A193" s="174"/>
      <c r="B193" s="174"/>
      <c r="C193" s="174"/>
      <c r="D193" s="174"/>
      <c r="E193" s="174"/>
      <c r="F193" s="150"/>
      <c r="G193" s="174"/>
      <c r="H193" s="174"/>
      <c r="I193" s="174"/>
      <c r="J193" s="174"/>
      <c r="K193" s="174"/>
      <c r="L193" s="174"/>
      <c r="M193" s="174"/>
      <c r="N193" s="174"/>
      <c r="O193" s="227"/>
      <c r="P193" s="227"/>
      <c r="Q193" s="227"/>
      <c r="R193" s="227"/>
      <c r="S193" s="227"/>
      <c r="T193" s="227"/>
      <c r="U193" s="227"/>
      <c r="V193" s="227"/>
      <c r="W193" s="227"/>
      <c r="X193" s="227"/>
      <c r="Y193" s="227"/>
      <c r="Z193" s="227"/>
    </row>
    <row r="194" spans="1:26" ht="12.75" customHeight="1">
      <c r="A194" s="174"/>
      <c r="B194" s="174"/>
      <c r="C194" s="174"/>
      <c r="D194" s="174"/>
      <c r="E194" s="174"/>
      <c r="F194" s="150"/>
      <c r="G194" s="174"/>
      <c r="H194" s="174"/>
      <c r="I194" s="174"/>
      <c r="J194" s="174"/>
      <c r="K194" s="174"/>
      <c r="L194" s="174"/>
      <c r="M194" s="174"/>
      <c r="N194" s="174"/>
      <c r="O194" s="227"/>
      <c r="P194" s="227"/>
      <c r="Q194" s="227"/>
      <c r="R194" s="227"/>
      <c r="S194" s="227"/>
      <c r="T194" s="227"/>
      <c r="U194" s="227"/>
      <c r="V194" s="227"/>
      <c r="W194" s="227"/>
      <c r="X194" s="227"/>
      <c r="Y194" s="227"/>
      <c r="Z194" s="227"/>
    </row>
    <row r="195" spans="1:26" ht="12.75" customHeight="1">
      <c r="A195" s="174"/>
      <c r="B195" s="174"/>
      <c r="C195" s="174"/>
      <c r="D195" s="174"/>
      <c r="E195" s="174"/>
      <c r="F195" s="150"/>
      <c r="G195" s="174"/>
      <c r="H195" s="174"/>
      <c r="I195" s="174"/>
      <c r="J195" s="174"/>
      <c r="K195" s="174"/>
      <c r="L195" s="174"/>
      <c r="M195" s="174"/>
      <c r="N195" s="174"/>
      <c r="O195" s="227"/>
      <c r="P195" s="227"/>
      <c r="Q195" s="227"/>
      <c r="R195" s="227"/>
      <c r="S195" s="227"/>
      <c r="T195" s="227"/>
      <c r="U195" s="227"/>
      <c r="V195" s="227"/>
      <c r="W195" s="227"/>
      <c r="X195" s="227"/>
      <c r="Y195" s="227"/>
      <c r="Z195" s="227"/>
    </row>
    <row r="196" spans="1:26" ht="12.75" customHeight="1">
      <c r="A196" s="174"/>
      <c r="B196" s="174"/>
      <c r="C196" s="174"/>
      <c r="D196" s="174"/>
      <c r="E196" s="174"/>
      <c r="F196" s="150"/>
      <c r="G196" s="174"/>
      <c r="H196" s="174"/>
      <c r="I196" s="174"/>
      <c r="J196" s="174"/>
      <c r="K196" s="174"/>
      <c r="L196" s="174"/>
      <c r="M196" s="174"/>
      <c r="N196" s="174"/>
      <c r="O196" s="227"/>
      <c r="P196" s="227"/>
      <c r="Q196" s="227"/>
      <c r="R196" s="227"/>
      <c r="S196" s="227"/>
      <c r="T196" s="227"/>
      <c r="U196" s="227"/>
      <c r="V196" s="227"/>
      <c r="W196" s="227"/>
      <c r="X196" s="227"/>
      <c r="Y196" s="227"/>
      <c r="Z196" s="227"/>
    </row>
    <row r="197" spans="1:26" ht="12.75" customHeight="1">
      <c r="A197" s="174"/>
      <c r="B197" s="174"/>
      <c r="C197" s="174"/>
      <c r="D197" s="174"/>
      <c r="E197" s="174"/>
      <c r="F197" s="150"/>
      <c r="G197" s="174"/>
      <c r="H197" s="174"/>
      <c r="I197" s="174"/>
      <c r="J197" s="174"/>
      <c r="K197" s="174"/>
      <c r="L197" s="174"/>
      <c r="M197" s="174"/>
      <c r="N197" s="174"/>
      <c r="O197" s="227"/>
      <c r="P197" s="227"/>
      <c r="Q197" s="227"/>
      <c r="R197" s="227"/>
      <c r="S197" s="227"/>
      <c r="T197" s="227"/>
      <c r="U197" s="227"/>
      <c r="V197" s="227"/>
      <c r="W197" s="227"/>
      <c r="X197" s="227"/>
      <c r="Y197" s="227"/>
      <c r="Z197" s="227"/>
    </row>
    <row r="198" spans="1:26" ht="12.75" customHeight="1">
      <c r="A198" s="174"/>
      <c r="B198" s="174"/>
      <c r="C198" s="174"/>
      <c r="D198" s="174"/>
      <c r="E198" s="174"/>
      <c r="F198" s="150"/>
      <c r="G198" s="174"/>
      <c r="H198" s="174"/>
      <c r="I198" s="174"/>
      <c r="J198" s="174"/>
      <c r="K198" s="174"/>
      <c r="L198" s="174"/>
      <c r="M198" s="174"/>
      <c r="N198" s="174"/>
      <c r="O198" s="227"/>
      <c r="P198" s="227"/>
      <c r="Q198" s="227"/>
      <c r="R198" s="227"/>
      <c r="S198" s="227"/>
      <c r="T198" s="227"/>
      <c r="U198" s="227"/>
      <c r="V198" s="227"/>
      <c r="W198" s="227"/>
      <c r="X198" s="227"/>
      <c r="Y198" s="227"/>
      <c r="Z198" s="227"/>
    </row>
    <row r="199" spans="1:26" ht="12.75" customHeight="1">
      <c r="A199" s="174"/>
      <c r="B199" s="174"/>
      <c r="C199" s="174"/>
      <c r="D199" s="174"/>
      <c r="E199" s="174"/>
      <c r="F199" s="150"/>
      <c r="G199" s="174"/>
      <c r="H199" s="174"/>
      <c r="I199" s="174"/>
      <c r="J199" s="174"/>
      <c r="K199" s="174"/>
      <c r="L199" s="174"/>
      <c r="M199" s="174"/>
      <c r="N199" s="174"/>
      <c r="O199" s="227"/>
      <c r="P199" s="227"/>
      <c r="Q199" s="227"/>
      <c r="R199" s="227"/>
      <c r="S199" s="227"/>
      <c r="T199" s="227"/>
      <c r="U199" s="227"/>
      <c r="V199" s="227"/>
      <c r="W199" s="227"/>
      <c r="X199" s="227"/>
      <c r="Y199" s="227"/>
      <c r="Z199" s="227"/>
    </row>
    <row r="200" spans="1:26" ht="12.75" customHeight="1">
      <c r="A200" s="174"/>
      <c r="B200" s="174"/>
      <c r="C200" s="174"/>
      <c r="D200" s="174"/>
      <c r="E200" s="174"/>
      <c r="F200" s="150"/>
      <c r="G200" s="174"/>
      <c r="H200" s="174"/>
      <c r="I200" s="174"/>
      <c r="J200" s="174"/>
      <c r="K200" s="174"/>
      <c r="L200" s="174"/>
      <c r="M200" s="174"/>
      <c r="N200" s="174"/>
      <c r="O200" s="227"/>
      <c r="P200" s="227"/>
      <c r="Q200" s="227"/>
      <c r="R200" s="227"/>
      <c r="S200" s="227"/>
      <c r="T200" s="227"/>
      <c r="U200" s="227"/>
      <c r="V200" s="227"/>
      <c r="W200" s="227"/>
      <c r="X200" s="227"/>
      <c r="Y200" s="227"/>
      <c r="Z200" s="227"/>
    </row>
    <row r="201" spans="1:26" ht="12.75" customHeight="1">
      <c r="A201" s="174"/>
      <c r="B201" s="174"/>
      <c r="C201" s="174"/>
      <c r="D201" s="174"/>
      <c r="E201" s="174"/>
      <c r="F201" s="150"/>
      <c r="G201" s="174"/>
      <c r="H201" s="174"/>
      <c r="I201" s="174"/>
      <c r="J201" s="174"/>
      <c r="K201" s="174"/>
      <c r="L201" s="174"/>
      <c r="M201" s="174"/>
      <c r="N201" s="174"/>
      <c r="O201" s="227"/>
      <c r="P201" s="227"/>
      <c r="Q201" s="227"/>
      <c r="R201" s="227"/>
      <c r="S201" s="227"/>
      <c r="T201" s="227"/>
      <c r="U201" s="227"/>
      <c r="V201" s="227"/>
      <c r="W201" s="227"/>
      <c r="X201" s="227"/>
      <c r="Y201" s="227"/>
      <c r="Z201" s="227"/>
    </row>
    <row r="202" spans="1:26" ht="12.75" customHeight="1">
      <c r="A202" s="174"/>
      <c r="B202" s="174"/>
      <c r="C202" s="174"/>
      <c r="D202" s="174"/>
      <c r="E202" s="174"/>
      <c r="F202" s="150"/>
      <c r="G202" s="174"/>
      <c r="H202" s="174"/>
      <c r="I202" s="174"/>
      <c r="J202" s="174"/>
      <c r="K202" s="174"/>
      <c r="L202" s="174"/>
      <c r="M202" s="174"/>
      <c r="N202" s="174"/>
      <c r="O202" s="227"/>
      <c r="P202" s="227"/>
      <c r="Q202" s="227"/>
      <c r="R202" s="227"/>
      <c r="S202" s="227"/>
      <c r="T202" s="227"/>
      <c r="U202" s="227"/>
      <c r="V202" s="227"/>
      <c r="W202" s="227"/>
      <c r="X202" s="227"/>
      <c r="Y202" s="227"/>
      <c r="Z202" s="227"/>
    </row>
    <row r="203" spans="1:26" ht="12.75" customHeight="1">
      <c r="A203" s="174"/>
      <c r="B203" s="174"/>
      <c r="C203" s="174"/>
      <c r="D203" s="174"/>
      <c r="E203" s="174"/>
      <c r="F203" s="150"/>
      <c r="G203" s="174"/>
      <c r="H203" s="174"/>
      <c r="I203" s="174"/>
      <c r="J203" s="174"/>
      <c r="K203" s="174"/>
      <c r="L203" s="174"/>
      <c r="M203" s="174"/>
      <c r="N203" s="174"/>
      <c r="O203" s="227"/>
      <c r="P203" s="227"/>
      <c r="Q203" s="227"/>
      <c r="R203" s="227"/>
      <c r="S203" s="227"/>
      <c r="T203" s="227"/>
      <c r="U203" s="227"/>
      <c r="V203" s="227"/>
      <c r="W203" s="227"/>
      <c r="X203" s="227"/>
      <c r="Y203" s="227"/>
      <c r="Z203" s="227"/>
    </row>
    <row r="204" spans="1:26" ht="12.75" customHeight="1">
      <c r="A204" s="174"/>
      <c r="B204" s="174"/>
      <c r="C204" s="174"/>
      <c r="D204" s="174"/>
      <c r="E204" s="174"/>
      <c r="F204" s="150"/>
      <c r="G204" s="174"/>
      <c r="H204" s="174"/>
      <c r="I204" s="174"/>
      <c r="J204" s="174"/>
      <c r="K204" s="174"/>
      <c r="L204" s="174"/>
      <c r="M204" s="174"/>
      <c r="N204" s="174"/>
      <c r="O204" s="227"/>
      <c r="P204" s="227"/>
      <c r="Q204" s="227"/>
      <c r="R204" s="227"/>
      <c r="S204" s="227"/>
      <c r="T204" s="227"/>
      <c r="U204" s="227"/>
      <c r="V204" s="227"/>
      <c r="W204" s="227"/>
      <c r="X204" s="227"/>
      <c r="Y204" s="227"/>
      <c r="Z204" s="227"/>
    </row>
    <row r="205" spans="1:26" ht="12.75" customHeight="1">
      <c r="A205" s="174"/>
      <c r="B205" s="174"/>
      <c r="C205" s="174"/>
      <c r="D205" s="174"/>
      <c r="E205" s="174"/>
      <c r="F205" s="150"/>
      <c r="G205" s="174"/>
      <c r="H205" s="174"/>
      <c r="I205" s="174"/>
      <c r="J205" s="174"/>
      <c r="K205" s="174"/>
      <c r="L205" s="174"/>
      <c r="M205" s="174"/>
      <c r="N205" s="174"/>
      <c r="O205" s="227"/>
      <c r="P205" s="227"/>
      <c r="Q205" s="227"/>
      <c r="R205" s="227"/>
      <c r="S205" s="227"/>
      <c r="T205" s="227"/>
      <c r="U205" s="227"/>
      <c r="V205" s="227"/>
      <c r="W205" s="227"/>
      <c r="X205" s="227"/>
      <c r="Y205" s="227"/>
      <c r="Z205" s="227"/>
    </row>
    <row r="206" spans="1:26" ht="12.75" customHeight="1">
      <c r="A206" s="174"/>
      <c r="B206" s="174"/>
      <c r="C206" s="174"/>
      <c r="D206" s="174"/>
      <c r="E206" s="174"/>
      <c r="F206" s="150"/>
      <c r="G206" s="174"/>
      <c r="H206" s="174"/>
      <c r="I206" s="174"/>
      <c r="J206" s="174"/>
      <c r="K206" s="174"/>
      <c r="L206" s="174"/>
      <c r="M206" s="174"/>
      <c r="N206" s="174"/>
      <c r="O206" s="227"/>
      <c r="P206" s="227"/>
      <c r="Q206" s="227"/>
      <c r="R206" s="227"/>
      <c r="S206" s="227"/>
      <c r="T206" s="227"/>
      <c r="U206" s="227"/>
      <c r="V206" s="227"/>
      <c r="W206" s="227"/>
      <c r="X206" s="227"/>
      <c r="Y206" s="227"/>
      <c r="Z206" s="227"/>
    </row>
    <row r="207" spans="1:26" ht="12.75" customHeight="1">
      <c r="A207" s="174"/>
      <c r="B207" s="174"/>
      <c r="C207" s="174"/>
      <c r="D207" s="174"/>
      <c r="E207" s="174"/>
      <c r="F207" s="150"/>
      <c r="G207" s="174"/>
      <c r="H207" s="174"/>
      <c r="I207" s="174"/>
      <c r="J207" s="174"/>
      <c r="K207" s="174"/>
      <c r="L207" s="174"/>
      <c r="M207" s="174"/>
      <c r="N207" s="174"/>
      <c r="O207" s="227"/>
      <c r="P207" s="227"/>
      <c r="Q207" s="227"/>
      <c r="R207" s="227"/>
      <c r="S207" s="227"/>
      <c r="T207" s="227"/>
      <c r="U207" s="227"/>
      <c r="V207" s="227"/>
      <c r="W207" s="227"/>
      <c r="X207" s="227"/>
      <c r="Y207" s="227"/>
      <c r="Z207" s="227"/>
    </row>
    <row r="208" spans="1:26" ht="12.75" customHeight="1">
      <c r="A208" s="174"/>
      <c r="B208" s="174"/>
      <c r="C208" s="174"/>
      <c r="D208" s="174"/>
      <c r="E208" s="174"/>
      <c r="F208" s="150"/>
      <c r="G208" s="174"/>
      <c r="H208" s="174"/>
      <c r="I208" s="174"/>
      <c r="J208" s="174"/>
      <c r="K208" s="174"/>
      <c r="L208" s="174"/>
      <c r="M208" s="174"/>
      <c r="N208" s="174"/>
      <c r="O208" s="227"/>
      <c r="P208" s="227"/>
      <c r="Q208" s="227"/>
      <c r="R208" s="227"/>
      <c r="S208" s="227"/>
      <c r="T208" s="227"/>
      <c r="U208" s="227"/>
      <c r="V208" s="227"/>
      <c r="W208" s="227"/>
      <c r="X208" s="227"/>
      <c r="Y208" s="227"/>
      <c r="Z208" s="227"/>
    </row>
    <row r="209" spans="1:26" ht="12.75" customHeight="1">
      <c r="A209" s="174"/>
      <c r="B209" s="174"/>
      <c r="C209" s="174"/>
      <c r="D209" s="174"/>
      <c r="E209" s="174"/>
      <c r="F209" s="150"/>
      <c r="G209" s="174"/>
      <c r="H209" s="174"/>
      <c r="I209" s="174"/>
      <c r="J209" s="174"/>
      <c r="K209" s="174"/>
      <c r="L209" s="174"/>
      <c r="M209" s="174"/>
      <c r="N209" s="174"/>
      <c r="O209" s="227"/>
      <c r="P209" s="227"/>
      <c r="Q209" s="227"/>
      <c r="R209" s="227"/>
      <c r="S209" s="227"/>
      <c r="T209" s="227"/>
      <c r="U209" s="227"/>
      <c r="V209" s="227"/>
      <c r="W209" s="227"/>
      <c r="X209" s="227"/>
      <c r="Y209" s="227"/>
      <c r="Z209" s="227"/>
    </row>
    <row r="210" spans="1:26" ht="12.75" customHeight="1">
      <c r="A210" s="174"/>
      <c r="B210" s="174"/>
      <c r="C210" s="174"/>
      <c r="D210" s="174"/>
      <c r="E210" s="174"/>
      <c r="F210" s="150"/>
      <c r="G210" s="174"/>
      <c r="H210" s="174"/>
      <c r="I210" s="174"/>
      <c r="J210" s="174"/>
      <c r="K210" s="174"/>
      <c r="L210" s="174"/>
      <c r="M210" s="174"/>
      <c r="N210" s="174"/>
      <c r="O210" s="227"/>
      <c r="P210" s="227"/>
      <c r="Q210" s="227"/>
      <c r="R210" s="227"/>
      <c r="S210" s="227"/>
      <c r="T210" s="227"/>
      <c r="U210" s="227"/>
      <c r="V210" s="227"/>
      <c r="W210" s="227"/>
      <c r="X210" s="227"/>
      <c r="Y210" s="227"/>
      <c r="Z210" s="227"/>
    </row>
    <row r="211" spans="1:26" ht="12.75" customHeight="1">
      <c r="A211" s="174"/>
      <c r="B211" s="174"/>
      <c r="C211" s="174"/>
      <c r="D211" s="174"/>
      <c r="E211" s="174"/>
      <c r="F211" s="150"/>
      <c r="G211" s="174"/>
      <c r="H211" s="174"/>
      <c r="I211" s="174"/>
      <c r="J211" s="174"/>
      <c r="K211" s="174"/>
      <c r="L211" s="174"/>
      <c r="M211" s="174"/>
      <c r="N211" s="174"/>
      <c r="O211" s="227"/>
      <c r="P211" s="227"/>
      <c r="Q211" s="227"/>
      <c r="R211" s="227"/>
      <c r="S211" s="227"/>
      <c r="T211" s="227"/>
      <c r="U211" s="227"/>
      <c r="V211" s="227"/>
      <c r="W211" s="227"/>
      <c r="X211" s="227"/>
      <c r="Y211" s="227"/>
      <c r="Z211" s="227"/>
    </row>
    <row r="212" spans="1:26" ht="12.75" customHeight="1">
      <c r="A212" s="174"/>
      <c r="B212" s="174"/>
      <c r="C212" s="174"/>
      <c r="D212" s="174"/>
      <c r="E212" s="174"/>
      <c r="F212" s="150"/>
      <c r="G212" s="174"/>
      <c r="H212" s="174"/>
      <c r="I212" s="174"/>
      <c r="J212" s="174"/>
      <c r="K212" s="174"/>
      <c r="L212" s="174"/>
      <c r="M212" s="174"/>
      <c r="N212" s="174"/>
      <c r="O212" s="227"/>
      <c r="P212" s="227"/>
      <c r="Q212" s="227"/>
      <c r="R212" s="227"/>
      <c r="S212" s="227"/>
      <c r="T212" s="227"/>
      <c r="U212" s="227"/>
      <c r="V212" s="227"/>
      <c r="W212" s="227"/>
      <c r="X212" s="227"/>
      <c r="Y212" s="227"/>
      <c r="Z212" s="227"/>
    </row>
    <row r="213" spans="1:26" ht="12.75" customHeight="1">
      <c r="A213" s="174"/>
      <c r="B213" s="174"/>
      <c r="C213" s="174"/>
      <c r="D213" s="174"/>
      <c r="E213" s="174"/>
      <c r="F213" s="150"/>
      <c r="G213" s="174"/>
      <c r="H213" s="174"/>
      <c r="I213" s="174"/>
      <c r="J213" s="174"/>
      <c r="K213" s="174"/>
      <c r="L213" s="174"/>
      <c r="M213" s="174"/>
      <c r="N213" s="174"/>
      <c r="O213" s="227"/>
      <c r="P213" s="227"/>
      <c r="Q213" s="227"/>
      <c r="R213" s="227"/>
      <c r="S213" s="227"/>
      <c r="T213" s="227"/>
      <c r="U213" s="227"/>
      <c r="V213" s="227"/>
      <c r="W213" s="227"/>
      <c r="X213" s="227"/>
      <c r="Y213" s="227"/>
      <c r="Z213" s="227"/>
    </row>
    <row r="214" spans="1:26" ht="12.75" customHeight="1">
      <c r="A214" s="174"/>
      <c r="B214" s="174"/>
      <c r="C214" s="174"/>
      <c r="D214" s="174"/>
      <c r="E214" s="174"/>
      <c r="F214" s="150"/>
      <c r="G214" s="174"/>
      <c r="H214" s="174"/>
      <c r="I214" s="174"/>
      <c r="J214" s="174"/>
      <c r="K214" s="174"/>
      <c r="L214" s="174"/>
      <c r="M214" s="174"/>
      <c r="N214" s="174"/>
      <c r="O214" s="227"/>
      <c r="P214" s="227"/>
      <c r="Q214" s="227"/>
      <c r="R214" s="227"/>
      <c r="S214" s="227"/>
      <c r="T214" s="227"/>
      <c r="U214" s="227"/>
      <c r="V214" s="227"/>
      <c r="W214" s="227"/>
      <c r="X214" s="227"/>
      <c r="Y214" s="227"/>
      <c r="Z214" s="227"/>
    </row>
    <row r="215" spans="1:26" ht="12.75" customHeight="1">
      <c r="A215" s="174"/>
      <c r="B215" s="174"/>
      <c r="C215" s="174"/>
      <c r="D215" s="174"/>
      <c r="E215" s="174"/>
      <c r="F215" s="150"/>
      <c r="G215" s="174"/>
      <c r="H215" s="174"/>
      <c r="I215" s="174"/>
      <c r="J215" s="174"/>
      <c r="K215" s="174"/>
      <c r="L215" s="174"/>
      <c r="M215" s="174"/>
      <c r="N215" s="174"/>
      <c r="O215" s="227"/>
      <c r="P215" s="227"/>
      <c r="Q215" s="227"/>
      <c r="R215" s="227"/>
      <c r="S215" s="227"/>
      <c r="T215" s="227"/>
      <c r="U215" s="227"/>
      <c r="V215" s="227"/>
      <c r="W215" s="227"/>
      <c r="X215" s="227"/>
      <c r="Y215" s="227"/>
      <c r="Z215" s="227"/>
    </row>
    <row r="216" spans="1:26" ht="12.75" customHeight="1">
      <c r="A216" s="174"/>
      <c r="B216" s="174"/>
      <c r="C216" s="174"/>
      <c r="D216" s="174"/>
      <c r="E216" s="174"/>
      <c r="F216" s="150"/>
      <c r="G216" s="174"/>
      <c r="H216" s="174"/>
      <c r="I216" s="174"/>
      <c r="J216" s="174"/>
      <c r="K216" s="174"/>
      <c r="L216" s="174"/>
      <c r="M216" s="174"/>
      <c r="N216" s="174"/>
      <c r="O216" s="227"/>
      <c r="P216" s="227"/>
      <c r="Q216" s="227"/>
      <c r="R216" s="227"/>
      <c r="S216" s="227"/>
      <c r="T216" s="227"/>
      <c r="U216" s="227"/>
      <c r="V216" s="227"/>
      <c r="W216" s="227"/>
      <c r="X216" s="227"/>
      <c r="Y216" s="227"/>
      <c r="Z216" s="227"/>
    </row>
    <row r="217" spans="1:26" ht="12.75" customHeight="1">
      <c r="A217" s="174"/>
      <c r="B217" s="174"/>
      <c r="C217" s="174"/>
      <c r="D217" s="174"/>
      <c r="E217" s="174"/>
      <c r="F217" s="150"/>
      <c r="G217" s="174"/>
      <c r="H217" s="174"/>
      <c r="I217" s="174"/>
      <c r="J217" s="174"/>
      <c r="K217" s="174"/>
      <c r="L217" s="174"/>
      <c r="M217" s="174"/>
      <c r="N217" s="174"/>
      <c r="O217" s="227"/>
      <c r="P217" s="227"/>
      <c r="Q217" s="227"/>
      <c r="R217" s="227"/>
      <c r="S217" s="227"/>
      <c r="T217" s="227"/>
      <c r="U217" s="227"/>
      <c r="V217" s="227"/>
      <c r="W217" s="227"/>
      <c r="X217" s="227"/>
      <c r="Y217" s="227"/>
      <c r="Z217" s="227"/>
    </row>
    <row r="218" spans="1:26" ht="12.75" customHeight="1">
      <c r="A218" s="174"/>
      <c r="B218" s="174"/>
      <c r="C218" s="174"/>
      <c r="D218" s="174"/>
      <c r="E218" s="174"/>
      <c r="F218" s="150"/>
      <c r="G218" s="174"/>
      <c r="H218" s="174"/>
      <c r="I218" s="174"/>
      <c r="J218" s="174"/>
      <c r="K218" s="174"/>
      <c r="L218" s="174"/>
      <c r="M218" s="174"/>
      <c r="N218" s="174"/>
      <c r="O218" s="227"/>
      <c r="P218" s="227"/>
      <c r="Q218" s="227"/>
      <c r="R218" s="227"/>
      <c r="S218" s="227"/>
      <c r="T218" s="227"/>
      <c r="U218" s="227"/>
      <c r="V218" s="227"/>
      <c r="W218" s="227"/>
      <c r="X218" s="227"/>
      <c r="Y218" s="227"/>
      <c r="Z218" s="227"/>
    </row>
    <row r="219" spans="1:26" ht="12.75" customHeight="1">
      <c r="A219" s="174"/>
      <c r="B219" s="174"/>
      <c r="C219" s="174"/>
      <c r="D219" s="174"/>
      <c r="E219" s="174"/>
      <c r="F219" s="150"/>
      <c r="G219" s="174"/>
      <c r="H219" s="174"/>
      <c r="I219" s="174"/>
      <c r="J219" s="174"/>
      <c r="K219" s="174"/>
      <c r="L219" s="174"/>
      <c r="M219" s="174"/>
      <c r="N219" s="174"/>
      <c r="O219" s="227"/>
      <c r="P219" s="227"/>
      <c r="Q219" s="227"/>
      <c r="R219" s="227"/>
      <c r="S219" s="227"/>
      <c r="T219" s="227"/>
      <c r="U219" s="227"/>
      <c r="V219" s="227"/>
      <c r="W219" s="227"/>
      <c r="X219" s="227"/>
      <c r="Y219" s="227"/>
      <c r="Z219" s="227"/>
    </row>
    <row r="220" spans="1:26" ht="12.75" customHeight="1">
      <c r="A220" s="174"/>
      <c r="B220" s="174"/>
      <c r="C220" s="174"/>
      <c r="D220" s="174"/>
      <c r="E220" s="174"/>
      <c r="F220" s="150"/>
      <c r="G220" s="174"/>
      <c r="H220" s="174"/>
      <c r="I220" s="174"/>
      <c r="J220" s="174"/>
      <c r="K220" s="174"/>
      <c r="L220" s="174"/>
      <c r="M220" s="174"/>
      <c r="N220" s="174"/>
      <c r="O220" s="227"/>
      <c r="P220" s="227"/>
      <c r="Q220" s="227"/>
      <c r="R220" s="227"/>
      <c r="S220" s="227"/>
      <c r="T220" s="227"/>
      <c r="U220" s="227"/>
      <c r="V220" s="227"/>
      <c r="W220" s="227"/>
      <c r="X220" s="227"/>
      <c r="Y220" s="227"/>
      <c r="Z220" s="227"/>
    </row>
    <row r="221" spans="1:26" ht="12.75" customHeight="1">
      <c r="A221" s="174"/>
      <c r="B221" s="174"/>
      <c r="C221" s="174"/>
      <c r="D221" s="174"/>
      <c r="E221" s="174"/>
      <c r="F221" s="150"/>
      <c r="G221" s="174"/>
      <c r="H221" s="174"/>
      <c r="I221" s="174"/>
      <c r="J221" s="174"/>
      <c r="K221" s="174"/>
      <c r="L221" s="174"/>
      <c r="M221" s="174"/>
      <c r="N221" s="174"/>
      <c r="O221" s="227"/>
      <c r="P221" s="227"/>
      <c r="Q221" s="227"/>
      <c r="R221" s="227"/>
      <c r="S221" s="227"/>
      <c r="T221" s="227"/>
      <c r="U221" s="227"/>
      <c r="V221" s="227"/>
      <c r="W221" s="227"/>
      <c r="X221" s="227"/>
      <c r="Y221" s="227"/>
      <c r="Z221" s="227"/>
    </row>
    <row r="222" spans="1:26" ht="12.75" customHeight="1">
      <c r="A222" s="174"/>
      <c r="B222" s="174"/>
      <c r="C222" s="174"/>
      <c r="D222" s="174"/>
      <c r="E222" s="174"/>
      <c r="F222" s="150"/>
      <c r="G222" s="174"/>
      <c r="H222" s="174"/>
      <c r="I222" s="174"/>
      <c r="J222" s="174"/>
      <c r="K222" s="174"/>
      <c r="L222" s="174"/>
      <c r="M222" s="174"/>
      <c r="N222" s="174"/>
      <c r="O222" s="227"/>
      <c r="P222" s="227"/>
      <c r="Q222" s="227"/>
      <c r="R222" s="227"/>
      <c r="S222" s="227"/>
      <c r="T222" s="227"/>
      <c r="U222" s="227"/>
      <c r="V222" s="227"/>
      <c r="W222" s="227"/>
      <c r="X222" s="227"/>
      <c r="Y222" s="227"/>
      <c r="Z222" s="227"/>
    </row>
    <row r="223" spans="1:26" ht="12.75" customHeight="1">
      <c r="A223" s="174"/>
      <c r="B223" s="174"/>
      <c r="C223" s="174"/>
      <c r="D223" s="174"/>
      <c r="E223" s="174"/>
      <c r="F223" s="150"/>
      <c r="G223" s="174"/>
      <c r="H223" s="174"/>
      <c r="I223" s="174"/>
      <c r="J223" s="174"/>
      <c r="K223" s="174"/>
      <c r="L223" s="174"/>
      <c r="M223" s="174"/>
      <c r="N223" s="174"/>
      <c r="O223" s="227"/>
      <c r="P223" s="227"/>
      <c r="Q223" s="227"/>
      <c r="R223" s="227"/>
      <c r="S223" s="227"/>
      <c r="T223" s="227"/>
      <c r="U223" s="227"/>
      <c r="V223" s="227"/>
      <c r="W223" s="227"/>
      <c r="X223" s="227"/>
      <c r="Y223" s="227"/>
      <c r="Z223" s="227"/>
    </row>
    <row r="224" spans="1:26" ht="12.75" customHeight="1">
      <c r="A224" s="174"/>
      <c r="B224" s="174"/>
      <c r="C224" s="174"/>
      <c r="D224" s="174"/>
      <c r="E224" s="174"/>
      <c r="F224" s="150"/>
      <c r="G224" s="174"/>
      <c r="H224" s="174"/>
      <c r="I224" s="174"/>
      <c r="J224" s="174"/>
      <c r="K224" s="174"/>
      <c r="L224" s="174"/>
      <c r="M224" s="174"/>
      <c r="N224" s="174"/>
      <c r="O224" s="227"/>
      <c r="P224" s="227"/>
      <c r="Q224" s="227"/>
      <c r="R224" s="227"/>
      <c r="S224" s="227"/>
      <c r="T224" s="227"/>
      <c r="U224" s="227"/>
      <c r="V224" s="227"/>
      <c r="W224" s="227"/>
      <c r="X224" s="227"/>
      <c r="Y224" s="227"/>
      <c r="Z224" s="227"/>
    </row>
    <row r="225" spans="1:26" ht="12.75" customHeight="1">
      <c r="A225" s="174"/>
      <c r="B225" s="174"/>
      <c r="C225" s="174"/>
      <c r="D225" s="174"/>
      <c r="E225" s="174"/>
      <c r="F225" s="150"/>
      <c r="G225" s="174"/>
      <c r="H225" s="174"/>
      <c r="I225" s="174"/>
      <c r="J225" s="174"/>
      <c r="K225" s="174"/>
      <c r="L225" s="174"/>
      <c r="M225" s="174"/>
      <c r="N225" s="174"/>
      <c r="O225" s="227"/>
      <c r="P225" s="227"/>
      <c r="Q225" s="227"/>
      <c r="R225" s="227"/>
      <c r="S225" s="227"/>
      <c r="T225" s="227"/>
      <c r="U225" s="227"/>
      <c r="V225" s="227"/>
      <c r="W225" s="227"/>
      <c r="X225" s="227"/>
      <c r="Y225" s="227"/>
      <c r="Z225" s="227"/>
    </row>
    <row r="226" spans="1:26" ht="12.75" customHeight="1">
      <c r="A226" s="174"/>
      <c r="B226" s="174"/>
      <c r="C226" s="174"/>
      <c r="D226" s="174"/>
      <c r="E226" s="174"/>
      <c r="F226" s="150"/>
      <c r="G226" s="174"/>
      <c r="H226" s="174"/>
      <c r="I226" s="174"/>
      <c r="J226" s="174"/>
      <c r="K226" s="174"/>
      <c r="L226" s="174"/>
      <c r="M226" s="174"/>
      <c r="N226" s="174"/>
      <c r="O226" s="227"/>
      <c r="P226" s="227"/>
      <c r="Q226" s="227"/>
      <c r="R226" s="227"/>
      <c r="S226" s="227"/>
      <c r="T226" s="227"/>
      <c r="U226" s="227"/>
      <c r="V226" s="227"/>
      <c r="W226" s="227"/>
      <c r="X226" s="227"/>
      <c r="Y226" s="227"/>
      <c r="Z226" s="227"/>
    </row>
    <row r="227" spans="1:26" ht="12.75" customHeight="1">
      <c r="A227" s="174"/>
      <c r="B227" s="174"/>
      <c r="C227" s="174"/>
      <c r="D227" s="174"/>
      <c r="E227" s="174"/>
      <c r="F227" s="150"/>
      <c r="G227" s="174"/>
      <c r="H227" s="174"/>
      <c r="I227" s="174"/>
      <c r="J227" s="174"/>
      <c r="K227" s="174"/>
      <c r="L227" s="174"/>
      <c r="M227" s="174"/>
      <c r="N227" s="174"/>
      <c r="O227" s="227"/>
      <c r="P227" s="227"/>
      <c r="Q227" s="227"/>
      <c r="R227" s="227"/>
      <c r="S227" s="227"/>
      <c r="T227" s="227"/>
      <c r="U227" s="227"/>
      <c r="V227" s="227"/>
      <c r="W227" s="227"/>
      <c r="X227" s="227"/>
      <c r="Y227" s="227"/>
      <c r="Z227" s="227"/>
    </row>
    <row r="228" spans="1:26" ht="12.75" customHeight="1">
      <c r="A228" s="174"/>
      <c r="B228" s="174"/>
      <c r="C228" s="174"/>
      <c r="D228" s="174"/>
      <c r="E228" s="174"/>
      <c r="F228" s="150"/>
      <c r="G228" s="174"/>
      <c r="H228" s="174"/>
      <c r="I228" s="174"/>
      <c r="J228" s="174"/>
      <c r="K228" s="174"/>
      <c r="L228" s="174"/>
      <c r="M228" s="174"/>
      <c r="N228" s="174"/>
      <c r="O228" s="227"/>
      <c r="P228" s="227"/>
      <c r="Q228" s="227"/>
      <c r="R228" s="227"/>
      <c r="S228" s="227"/>
      <c r="T228" s="227"/>
      <c r="U228" s="227"/>
      <c r="V228" s="227"/>
      <c r="W228" s="227"/>
      <c r="X228" s="227"/>
      <c r="Y228" s="227"/>
      <c r="Z228" s="227"/>
    </row>
    <row r="229" spans="1:26" ht="12.75" customHeight="1">
      <c r="A229" s="174"/>
      <c r="B229" s="174"/>
      <c r="C229" s="174"/>
      <c r="D229" s="174"/>
      <c r="E229" s="174"/>
      <c r="F229" s="150"/>
      <c r="G229" s="174"/>
      <c r="H229" s="174"/>
      <c r="I229" s="174"/>
      <c r="J229" s="174"/>
      <c r="K229" s="174"/>
      <c r="L229" s="174"/>
      <c r="M229" s="174"/>
      <c r="N229" s="174"/>
      <c r="O229" s="227"/>
      <c r="P229" s="227"/>
      <c r="Q229" s="227"/>
      <c r="R229" s="227"/>
      <c r="S229" s="227"/>
      <c r="T229" s="227"/>
      <c r="U229" s="227"/>
      <c r="V229" s="227"/>
      <c r="W229" s="227"/>
      <c r="X229" s="227"/>
      <c r="Y229" s="227"/>
      <c r="Z229" s="227"/>
    </row>
    <row r="230" spans="1:26" ht="12.75" customHeight="1">
      <c r="A230" s="174"/>
      <c r="B230" s="174"/>
      <c r="C230" s="174"/>
      <c r="D230" s="174"/>
      <c r="E230" s="174"/>
      <c r="F230" s="150"/>
      <c r="G230" s="174"/>
      <c r="H230" s="174"/>
      <c r="I230" s="174"/>
      <c r="J230" s="174"/>
      <c r="K230" s="174"/>
      <c r="L230" s="174"/>
      <c r="M230" s="174"/>
      <c r="N230" s="174"/>
      <c r="O230" s="227"/>
      <c r="P230" s="227"/>
      <c r="Q230" s="227"/>
      <c r="R230" s="227"/>
      <c r="S230" s="227"/>
      <c r="T230" s="227"/>
      <c r="U230" s="227"/>
      <c r="V230" s="227"/>
      <c r="W230" s="227"/>
      <c r="X230" s="227"/>
      <c r="Y230" s="227"/>
      <c r="Z230" s="227"/>
    </row>
    <row r="231" spans="1:26" ht="12.75" customHeight="1">
      <c r="A231" s="174"/>
      <c r="B231" s="174"/>
      <c r="C231" s="174"/>
      <c r="D231" s="174"/>
      <c r="E231" s="174"/>
      <c r="F231" s="150"/>
      <c r="G231" s="174"/>
      <c r="H231" s="174"/>
      <c r="I231" s="174"/>
      <c r="J231" s="174"/>
      <c r="K231" s="174"/>
      <c r="L231" s="174"/>
      <c r="M231" s="174"/>
      <c r="N231" s="174"/>
      <c r="O231" s="227"/>
      <c r="P231" s="227"/>
      <c r="Q231" s="227"/>
      <c r="R231" s="227"/>
      <c r="S231" s="227"/>
      <c r="T231" s="227"/>
      <c r="U231" s="227"/>
      <c r="V231" s="227"/>
      <c r="W231" s="227"/>
      <c r="X231" s="227"/>
      <c r="Y231" s="227"/>
      <c r="Z231" s="227"/>
    </row>
    <row r="232" spans="1:26" ht="12.75" customHeight="1">
      <c r="A232" s="174"/>
      <c r="B232" s="174"/>
      <c r="C232" s="174"/>
      <c r="D232" s="174"/>
      <c r="E232" s="174"/>
      <c r="F232" s="150"/>
      <c r="G232" s="174"/>
      <c r="H232" s="174"/>
      <c r="I232" s="174"/>
      <c r="J232" s="174"/>
      <c r="K232" s="174"/>
      <c r="L232" s="174"/>
      <c r="M232" s="174"/>
      <c r="N232" s="174"/>
      <c r="O232" s="227"/>
      <c r="P232" s="227"/>
      <c r="Q232" s="227"/>
      <c r="R232" s="227"/>
      <c r="S232" s="227"/>
      <c r="T232" s="227"/>
      <c r="U232" s="227"/>
      <c r="V232" s="227"/>
      <c r="W232" s="227"/>
      <c r="X232" s="227"/>
      <c r="Y232" s="227"/>
      <c r="Z232" s="227"/>
    </row>
    <row r="233" spans="1:26" ht="12.75" customHeight="1">
      <c r="A233" s="174"/>
      <c r="B233" s="174"/>
      <c r="C233" s="174"/>
      <c r="D233" s="174"/>
      <c r="E233" s="174"/>
      <c r="F233" s="150"/>
      <c r="G233" s="174"/>
      <c r="H233" s="174"/>
      <c r="I233" s="174"/>
      <c r="J233" s="174"/>
      <c r="K233" s="174"/>
      <c r="L233" s="174"/>
      <c r="M233" s="174"/>
      <c r="N233" s="174"/>
      <c r="O233" s="227"/>
      <c r="P233" s="227"/>
      <c r="Q233" s="227"/>
      <c r="R233" s="227"/>
      <c r="S233" s="227"/>
      <c r="T233" s="227"/>
      <c r="U233" s="227"/>
      <c r="V233" s="227"/>
      <c r="W233" s="227"/>
      <c r="X233" s="227"/>
      <c r="Y233" s="227"/>
      <c r="Z233" s="227"/>
    </row>
    <row r="234" spans="1:26" ht="12.75" customHeight="1">
      <c r="A234" s="174"/>
      <c r="B234" s="174"/>
      <c r="C234" s="174"/>
      <c r="D234" s="174"/>
      <c r="E234" s="174"/>
      <c r="F234" s="150"/>
      <c r="G234" s="174"/>
      <c r="H234" s="174"/>
      <c r="I234" s="174"/>
      <c r="J234" s="174"/>
      <c r="K234" s="174"/>
      <c r="L234" s="174"/>
      <c r="M234" s="174"/>
      <c r="N234" s="174"/>
      <c r="O234" s="227"/>
      <c r="P234" s="227"/>
      <c r="Q234" s="227"/>
      <c r="R234" s="227"/>
      <c r="S234" s="227"/>
      <c r="T234" s="227"/>
      <c r="U234" s="227"/>
      <c r="V234" s="227"/>
      <c r="W234" s="227"/>
      <c r="X234" s="227"/>
      <c r="Y234" s="227"/>
      <c r="Z234" s="227"/>
    </row>
    <row r="235" spans="1:26" ht="12.75" customHeight="1">
      <c r="A235" s="174"/>
      <c r="B235" s="174"/>
      <c r="C235" s="174"/>
      <c r="D235" s="174"/>
      <c r="E235" s="174"/>
      <c r="F235" s="150"/>
      <c r="G235" s="174"/>
      <c r="H235" s="174"/>
      <c r="I235" s="174"/>
      <c r="J235" s="174"/>
      <c r="K235" s="174"/>
      <c r="L235" s="174"/>
      <c r="M235" s="174"/>
      <c r="N235" s="174"/>
      <c r="O235" s="227"/>
      <c r="P235" s="227"/>
      <c r="Q235" s="227"/>
      <c r="R235" s="227"/>
      <c r="S235" s="227"/>
      <c r="T235" s="227"/>
      <c r="U235" s="227"/>
      <c r="V235" s="227"/>
      <c r="W235" s="227"/>
      <c r="X235" s="227"/>
      <c r="Y235" s="227"/>
      <c r="Z235" s="227"/>
    </row>
    <row r="236" spans="1:26" ht="12.75" customHeight="1">
      <c r="A236" s="174"/>
      <c r="B236" s="174"/>
      <c r="C236" s="174"/>
      <c r="D236" s="174"/>
      <c r="E236" s="174"/>
      <c r="F236" s="150"/>
      <c r="G236" s="174"/>
      <c r="H236" s="174"/>
      <c r="I236" s="174"/>
      <c r="J236" s="174"/>
      <c r="K236" s="174"/>
      <c r="L236" s="174"/>
      <c r="M236" s="174"/>
      <c r="N236" s="174"/>
      <c r="O236" s="227"/>
      <c r="P236" s="227"/>
      <c r="Q236" s="227"/>
      <c r="R236" s="227"/>
      <c r="S236" s="227"/>
      <c r="T236" s="227"/>
      <c r="U236" s="227"/>
      <c r="V236" s="227"/>
      <c r="W236" s="227"/>
      <c r="X236" s="227"/>
      <c r="Y236" s="227"/>
      <c r="Z236" s="227"/>
    </row>
    <row r="237" spans="1:26" ht="12.75" customHeight="1">
      <c r="A237" s="174"/>
      <c r="B237" s="174"/>
      <c r="C237" s="174"/>
      <c r="D237" s="174"/>
      <c r="E237" s="174"/>
      <c r="F237" s="150"/>
      <c r="G237" s="174"/>
      <c r="H237" s="174"/>
      <c r="I237" s="174"/>
      <c r="J237" s="174"/>
      <c r="K237" s="174"/>
      <c r="L237" s="174"/>
      <c r="M237" s="174"/>
      <c r="N237" s="174"/>
      <c r="O237" s="227"/>
      <c r="P237" s="227"/>
      <c r="Q237" s="227"/>
      <c r="R237" s="227"/>
      <c r="S237" s="227"/>
      <c r="T237" s="227"/>
      <c r="U237" s="227"/>
      <c r="V237" s="227"/>
      <c r="W237" s="227"/>
      <c r="X237" s="227"/>
      <c r="Y237" s="227"/>
      <c r="Z237" s="227"/>
    </row>
    <row r="238" spans="1:26" ht="12.75" customHeight="1">
      <c r="A238" s="174"/>
      <c r="B238" s="174"/>
      <c r="C238" s="174"/>
      <c r="D238" s="174"/>
      <c r="E238" s="174"/>
      <c r="F238" s="150"/>
      <c r="G238" s="174"/>
      <c r="H238" s="174"/>
      <c r="I238" s="174"/>
      <c r="J238" s="174"/>
      <c r="K238" s="174"/>
      <c r="L238" s="174"/>
      <c r="M238" s="174"/>
      <c r="N238" s="174"/>
      <c r="O238" s="227"/>
      <c r="P238" s="227"/>
      <c r="Q238" s="227"/>
      <c r="R238" s="227"/>
      <c r="S238" s="227"/>
      <c r="T238" s="227"/>
      <c r="U238" s="227"/>
      <c r="V238" s="227"/>
      <c r="W238" s="227"/>
      <c r="X238" s="227"/>
      <c r="Y238" s="227"/>
      <c r="Z238" s="227"/>
    </row>
    <row r="239" spans="1:26" ht="12.75" customHeight="1">
      <c r="A239" s="174"/>
      <c r="B239" s="174"/>
      <c r="C239" s="174"/>
      <c r="D239" s="174"/>
      <c r="E239" s="174"/>
      <c r="F239" s="150"/>
      <c r="G239" s="174"/>
      <c r="H239" s="174"/>
      <c r="I239" s="174"/>
      <c r="J239" s="174"/>
      <c r="K239" s="174"/>
      <c r="L239" s="174"/>
      <c r="M239" s="174"/>
      <c r="N239" s="174"/>
      <c r="O239" s="227"/>
      <c r="P239" s="227"/>
      <c r="Q239" s="227"/>
      <c r="R239" s="227"/>
      <c r="S239" s="227"/>
      <c r="T239" s="227"/>
      <c r="U239" s="227"/>
      <c r="V239" s="227"/>
      <c r="W239" s="227"/>
      <c r="X239" s="227"/>
      <c r="Y239" s="227"/>
      <c r="Z239" s="227"/>
    </row>
    <row r="240" spans="1:26" ht="12.75" customHeight="1">
      <c r="A240" s="174"/>
      <c r="B240" s="174"/>
      <c r="C240" s="174"/>
      <c r="D240" s="174"/>
      <c r="E240" s="174"/>
      <c r="F240" s="150"/>
      <c r="G240" s="174"/>
      <c r="H240" s="174"/>
      <c r="I240" s="174"/>
      <c r="J240" s="174"/>
      <c r="K240" s="174"/>
      <c r="L240" s="174"/>
      <c r="M240" s="174"/>
      <c r="N240" s="174"/>
      <c r="O240" s="227"/>
      <c r="P240" s="227"/>
      <c r="Q240" s="227"/>
      <c r="R240" s="227"/>
      <c r="S240" s="227"/>
      <c r="T240" s="227"/>
      <c r="U240" s="227"/>
      <c r="V240" s="227"/>
      <c r="W240" s="227"/>
      <c r="X240" s="227"/>
      <c r="Y240" s="227"/>
      <c r="Z240" s="227"/>
    </row>
    <row r="241" spans="1:26" ht="12.75" customHeight="1">
      <c r="A241" s="174"/>
      <c r="B241" s="174"/>
      <c r="C241" s="174"/>
      <c r="D241" s="174"/>
      <c r="E241" s="174"/>
      <c r="F241" s="150"/>
      <c r="G241" s="174"/>
      <c r="H241" s="174"/>
      <c r="I241" s="174"/>
      <c r="J241" s="174"/>
      <c r="K241" s="174"/>
      <c r="L241" s="174"/>
      <c r="M241" s="174"/>
      <c r="N241" s="174"/>
      <c r="O241" s="227"/>
      <c r="P241" s="227"/>
      <c r="Q241" s="227"/>
      <c r="R241" s="227"/>
      <c r="S241" s="227"/>
      <c r="T241" s="227"/>
      <c r="U241" s="227"/>
      <c r="V241" s="227"/>
      <c r="W241" s="227"/>
      <c r="X241" s="227"/>
      <c r="Y241" s="227"/>
      <c r="Z241" s="227"/>
    </row>
    <row r="242" spans="1:26" ht="12.75" customHeight="1">
      <c r="A242" s="174"/>
      <c r="B242" s="174"/>
      <c r="C242" s="174"/>
      <c r="D242" s="174"/>
      <c r="E242" s="174"/>
      <c r="F242" s="150"/>
      <c r="G242" s="174"/>
      <c r="H242" s="174"/>
      <c r="I242" s="174"/>
      <c r="J242" s="174"/>
      <c r="K242" s="174"/>
      <c r="L242" s="174"/>
      <c r="M242" s="174"/>
      <c r="N242" s="174"/>
      <c r="O242" s="227"/>
      <c r="P242" s="227"/>
      <c r="Q242" s="227"/>
      <c r="R242" s="227"/>
      <c r="S242" s="227"/>
      <c r="T242" s="227"/>
      <c r="U242" s="227"/>
      <c r="V242" s="227"/>
      <c r="W242" s="227"/>
      <c r="X242" s="227"/>
      <c r="Y242" s="227"/>
      <c r="Z242" s="227"/>
    </row>
    <row r="243" spans="1:26" ht="12.75" customHeight="1">
      <c r="A243" s="174"/>
      <c r="B243" s="174"/>
      <c r="C243" s="174"/>
      <c r="D243" s="174"/>
      <c r="E243" s="174"/>
      <c r="F243" s="150"/>
      <c r="G243" s="174"/>
      <c r="H243" s="174"/>
      <c r="I243" s="174"/>
      <c r="J243" s="174"/>
      <c r="K243" s="174"/>
      <c r="L243" s="174"/>
      <c r="M243" s="174"/>
      <c r="N243" s="174"/>
      <c r="O243" s="227"/>
      <c r="P243" s="227"/>
      <c r="Q243" s="227"/>
      <c r="R243" s="227"/>
      <c r="S243" s="227"/>
      <c r="T243" s="227"/>
      <c r="U243" s="227"/>
      <c r="V243" s="227"/>
      <c r="W243" s="227"/>
      <c r="X243" s="227"/>
      <c r="Y243" s="227"/>
      <c r="Z243" s="227"/>
    </row>
    <row r="244" spans="1:26" ht="12.75" customHeight="1">
      <c r="A244" s="174"/>
      <c r="B244" s="174"/>
      <c r="C244" s="174"/>
      <c r="D244" s="174"/>
      <c r="E244" s="174"/>
      <c r="F244" s="150"/>
      <c r="G244" s="174"/>
      <c r="H244" s="174"/>
      <c r="I244" s="174"/>
      <c r="J244" s="174"/>
      <c r="K244" s="174"/>
      <c r="L244" s="174"/>
      <c r="M244" s="174"/>
      <c r="N244" s="174"/>
      <c r="O244" s="227"/>
      <c r="P244" s="227"/>
      <c r="Q244" s="227"/>
      <c r="R244" s="227"/>
      <c r="S244" s="227"/>
      <c r="T244" s="227"/>
      <c r="U244" s="227"/>
      <c r="V244" s="227"/>
      <c r="W244" s="227"/>
      <c r="X244" s="227"/>
      <c r="Y244" s="227"/>
      <c r="Z244" s="227"/>
    </row>
    <row r="245" spans="1:26" ht="12.75" customHeight="1">
      <c r="A245" s="174"/>
      <c r="B245" s="174"/>
      <c r="C245" s="174"/>
      <c r="D245" s="174"/>
      <c r="E245" s="174"/>
      <c r="F245" s="150"/>
      <c r="G245" s="174"/>
      <c r="H245" s="174"/>
      <c r="I245" s="174"/>
      <c r="J245" s="174"/>
      <c r="K245" s="174"/>
      <c r="L245" s="174"/>
      <c r="M245" s="174"/>
      <c r="N245" s="174"/>
      <c r="O245" s="227"/>
      <c r="P245" s="227"/>
      <c r="Q245" s="227"/>
      <c r="R245" s="227"/>
      <c r="S245" s="227"/>
      <c r="T245" s="227"/>
      <c r="U245" s="227"/>
      <c r="V245" s="227"/>
      <c r="W245" s="227"/>
      <c r="X245" s="227"/>
      <c r="Y245" s="227"/>
      <c r="Z245" s="227"/>
    </row>
    <row r="246" spans="1:26" ht="12.75" customHeight="1">
      <c r="A246" s="174"/>
      <c r="B246" s="174"/>
      <c r="C246" s="174"/>
      <c r="D246" s="174"/>
      <c r="E246" s="174"/>
      <c r="F246" s="150"/>
      <c r="G246" s="174"/>
      <c r="H246" s="174"/>
      <c r="I246" s="174"/>
      <c r="J246" s="174"/>
      <c r="K246" s="174"/>
      <c r="L246" s="174"/>
      <c r="M246" s="174"/>
      <c r="N246" s="174"/>
      <c r="O246" s="227"/>
      <c r="P246" s="227"/>
      <c r="Q246" s="227"/>
      <c r="R246" s="227"/>
      <c r="S246" s="227"/>
      <c r="T246" s="227"/>
      <c r="U246" s="227"/>
      <c r="V246" s="227"/>
      <c r="W246" s="227"/>
      <c r="X246" s="227"/>
      <c r="Y246" s="227"/>
      <c r="Z246" s="227"/>
    </row>
    <row r="247" spans="1:26" ht="12.75" customHeight="1">
      <c r="A247" s="174"/>
      <c r="B247" s="174"/>
      <c r="C247" s="174"/>
      <c r="D247" s="174"/>
      <c r="E247" s="174"/>
      <c r="F247" s="150"/>
      <c r="G247" s="174"/>
      <c r="H247" s="174"/>
      <c r="I247" s="174"/>
      <c r="J247" s="174"/>
      <c r="K247" s="174"/>
      <c r="L247" s="174"/>
      <c r="M247" s="174"/>
      <c r="N247" s="174"/>
      <c r="O247" s="227"/>
      <c r="P247" s="227"/>
      <c r="Q247" s="227"/>
      <c r="R247" s="227"/>
      <c r="S247" s="227"/>
      <c r="T247" s="227"/>
      <c r="U247" s="227"/>
      <c r="V247" s="227"/>
      <c r="W247" s="227"/>
      <c r="X247" s="227"/>
      <c r="Y247" s="227"/>
      <c r="Z247" s="227"/>
    </row>
    <row r="248" spans="1:26" ht="12.75" customHeight="1">
      <c r="A248" s="174"/>
      <c r="B248" s="174"/>
      <c r="C248" s="174"/>
      <c r="D248" s="174"/>
      <c r="E248" s="174"/>
      <c r="F248" s="150"/>
      <c r="G248" s="174"/>
      <c r="H248" s="174"/>
      <c r="I248" s="174"/>
      <c r="J248" s="174"/>
      <c r="K248" s="174"/>
      <c r="L248" s="174"/>
      <c r="M248" s="174"/>
      <c r="N248" s="174"/>
      <c r="O248" s="227"/>
      <c r="P248" s="227"/>
      <c r="Q248" s="227"/>
      <c r="R248" s="227"/>
      <c r="S248" s="227"/>
      <c r="T248" s="227"/>
      <c r="U248" s="227"/>
      <c r="V248" s="227"/>
      <c r="W248" s="227"/>
      <c r="X248" s="227"/>
      <c r="Y248" s="227"/>
      <c r="Z248" s="227"/>
    </row>
    <row r="249" spans="1:26" ht="12.75" customHeight="1">
      <c r="A249" s="174"/>
      <c r="B249" s="174"/>
      <c r="C249" s="174"/>
      <c r="D249" s="174"/>
      <c r="E249" s="174"/>
      <c r="F249" s="150"/>
      <c r="G249" s="174"/>
      <c r="H249" s="174"/>
      <c r="I249" s="174"/>
      <c r="J249" s="174"/>
      <c r="K249" s="174"/>
      <c r="L249" s="174"/>
      <c r="M249" s="174"/>
      <c r="N249" s="174"/>
      <c r="O249" s="227"/>
      <c r="P249" s="227"/>
      <c r="Q249" s="227"/>
      <c r="R249" s="227"/>
      <c r="S249" s="227"/>
      <c r="T249" s="227"/>
      <c r="U249" s="227"/>
      <c r="V249" s="227"/>
      <c r="W249" s="227"/>
      <c r="X249" s="227"/>
      <c r="Y249" s="227"/>
      <c r="Z249" s="227"/>
    </row>
    <row r="250" spans="1:26" ht="12.75" customHeight="1">
      <c r="A250" s="174"/>
      <c r="B250" s="174"/>
      <c r="C250" s="174"/>
      <c r="D250" s="174"/>
      <c r="E250" s="174"/>
      <c r="F250" s="150"/>
      <c r="G250" s="174"/>
      <c r="H250" s="174"/>
      <c r="I250" s="174"/>
      <c r="J250" s="174"/>
      <c r="K250" s="174"/>
      <c r="L250" s="174"/>
      <c r="M250" s="174"/>
      <c r="N250" s="174"/>
      <c r="O250" s="227"/>
      <c r="P250" s="227"/>
      <c r="Q250" s="227"/>
      <c r="R250" s="227"/>
      <c r="S250" s="227"/>
      <c r="T250" s="227"/>
      <c r="U250" s="227"/>
      <c r="V250" s="227"/>
      <c r="W250" s="227"/>
      <c r="X250" s="227"/>
      <c r="Y250" s="227"/>
      <c r="Z250" s="227"/>
    </row>
    <row r="251" spans="1:26" ht="12.75" customHeight="1">
      <c r="A251" s="174"/>
      <c r="B251" s="174"/>
      <c r="C251" s="174"/>
      <c r="D251" s="174"/>
      <c r="E251" s="174"/>
      <c r="F251" s="150"/>
      <c r="G251" s="174"/>
      <c r="H251" s="174"/>
      <c r="I251" s="174"/>
      <c r="J251" s="174"/>
      <c r="K251" s="174"/>
      <c r="L251" s="174"/>
      <c r="M251" s="174"/>
      <c r="N251" s="174"/>
      <c r="O251" s="227"/>
      <c r="P251" s="227"/>
      <c r="Q251" s="227"/>
      <c r="R251" s="227"/>
      <c r="S251" s="227"/>
      <c r="T251" s="227"/>
      <c r="U251" s="227"/>
      <c r="V251" s="227"/>
      <c r="W251" s="227"/>
      <c r="X251" s="227"/>
      <c r="Y251" s="227"/>
      <c r="Z251" s="227"/>
    </row>
    <row r="252" spans="1:26" ht="12.75" customHeight="1">
      <c r="A252" s="174"/>
      <c r="B252" s="174"/>
      <c r="C252" s="174"/>
      <c r="D252" s="174"/>
      <c r="E252" s="174"/>
      <c r="F252" s="150"/>
      <c r="G252" s="174"/>
      <c r="H252" s="174"/>
      <c r="I252" s="174"/>
      <c r="J252" s="174"/>
      <c r="K252" s="174"/>
      <c r="L252" s="174"/>
      <c r="M252" s="174"/>
      <c r="N252" s="174"/>
      <c r="O252" s="227"/>
      <c r="P252" s="227"/>
      <c r="Q252" s="227"/>
      <c r="R252" s="227"/>
      <c r="S252" s="227"/>
      <c r="T252" s="227"/>
      <c r="U252" s="227"/>
      <c r="V252" s="227"/>
      <c r="W252" s="227"/>
      <c r="X252" s="227"/>
      <c r="Y252" s="227"/>
      <c r="Z252" s="227"/>
    </row>
    <row r="253" spans="1:26" ht="12.75" customHeight="1">
      <c r="A253" s="174"/>
      <c r="B253" s="174"/>
      <c r="C253" s="174"/>
      <c r="D253" s="174"/>
      <c r="E253" s="174"/>
      <c r="F253" s="150"/>
      <c r="G253" s="174"/>
      <c r="H253" s="174"/>
      <c r="I253" s="174"/>
      <c r="J253" s="174"/>
      <c r="K253" s="174"/>
      <c r="L253" s="174"/>
      <c r="M253" s="174"/>
      <c r="N253" s="174"/>
      <c r="O253" s="227"/>
      <c r="P253" s="227"/>
      <c r="Q253" s="227"/>
      <c r="R253" s="227"/>
      <c r="S253" s="227"/>
      <c r="T253" s="227"/>
      <c r="U253" s="227"/>
      <c r="V253" s="227"/>
      <c r="W253" s="227"/>
      <c r="X253" s="227"/>
      <c r="Y253" s="227"/>
      <c r="Z253" s="227"/>
    </row>
    <row r="254" spans="1:26" ht="12.75" customHeight="1">
      <c r="A254" s="174"/>
      <c r="B254" s="174"/>
      <c r="C254" s="174"/>
      <c r="D254" s="174"/>
      <c r="E254" s="174"/>
      <c r="F254" s="150"/>
      <c r="G254" s="174"/>
      <c r="H254" s="174"/>
      <c r="I254" s="174"/>
      <c r="J254" s="174"/>
      <c r="K254" s="174"/>
      <c r="L254" s="174"/>
      <c r="M254" s="174"/>
      <c r="N254" s="174"/>
      <c r="O254" s="227"/>
      <c r="P254" s="227"/>
      <c r="Q254" s="227"/>
      <c r="R254" s="227"/>
      <c r="S254" s="227"/>
      <c r="T254" s="227"/>
      <c r="U254" s="227"/>
      <c r="V254" s="227"/>
      <c r="W254" s="227"/>
      <c r="X254" s="227"/>
      <c r="Y254" s="227"/>
      <c r="Z254" s="227"/>
    </row>
    <row r="255" spans="1:26" ht="12.75" customHeight="1">
      <c r="A255" s="174"/>
      <c r="B255" s="174"/>
      <c r="C255" s="174"/>
      <c r="D255" s="174"/>
      <c r="E255" s="174"/>
      <c r="F255" s="150"/>
      <c r="G255" s="174"/>
      <c r="H255" s="174"/>
      <c r="I255" s="174"/>
      <c r="J255" s="174"/>
      <c r="K255" s="174"/>
      <c r="L255" s="174"/>
      <c r="M255" s="174"/>
      <c r="N255" s="174"/>
      <c r="O255" s="227"/>
      <c r="P255" s="227"/>
      <c r="Q255" s="227"/>
      <c r="R255" s="227"/>
      <c r="S255" s="227"/>
      <c r="T255" s="227"/>
      <c r="U255" s="227"/>
      <c r="V255" s="227"/>
      <c r="W255" s="227"/>
      <c r="X255" s="227"/>
      <c r="Y255" s="227"/>
      <c r="Z255" s="227"/>
    </row>
    <row r="256" spans="1:26" ht="12.75" customHeight="1">
      <c r="A256" s="174"/>
      <c r="B256" s="174"/>
      <c r="C256" s="174"/>
      <c r="D256" s="174"/>
      <c r="E256" s="174"/>
      <c r="F256" s="150"/>
      <c r="G256" s="174"/>
      <c r="H256" s="174"/>
      <c r="I256" s="174"/>
      <c r="J256" s="174"/>
      <c r="K256" s="174"/>
      <c r="L256" s="174"/>
      <c r="M256" s="174"/>
      <c r="N256" s="174"/>
      <c r="O256" s="227"/>
      <c r="P256" s="227"/>
      <c r="Q256" s="227"/>
      <c r="R256" s="227"/>
      <c r="S256" s="227"/>
      <c r="T256" s="227"/>
      <c r="U256" s="227"/>
      <c r="V256" s="227"/>
      <c r="W256" s="227"/>
      <c r="X256" s="227"/>
      <c r="Y256" s="227"/>
      <c r="Z256" s="227"/>
    </row>
    <row r="257" spans="1:26" ht="12.75" customHeight="1">
      <c r="A257" s="174"/>
      <c r="B257" s="174"/>
      <c r="C257" s="174"/>
      <c r="D257" s="174"/>
      <c r="E257" s="174"/>
      <c r="F257" s="150"/>
      <c r="G257" s="174"/>
      <c r="H257" s="174"/>
      <c r="I257" s="174"/>
      <c r="J257" s="174"/>
      <c r="K257" s="174"/>
      <c r="L257" s="174"/>
      <c r="M257" s="174"/>
      <c r="N257" s="174"/>
      <c r="O257" s="227"/>
      <c r="P257" s="227"/>
      <c r="Q257" s="227"/>
      <c r="R257" s="227"/>
      <c r="S257" s="227"/>
      <c r="T257" s="227"/>
      <c r="U257" s="227"/>
      <c r="V257" s="227"/>
      <c r="W257" s="227"/>
      <c r="X257" s="227"/>
      <c r="Y257" s="227"/>
      <c r="Z257" s="227"/>
    </row>
    <row r="258" spans="1:26" ht="12.75" customHeight="1">
      <c r="A258" s="174"/>
      <c r="B258" s="174"/>
      <c r="C258" s="174"/>
      <c r="D258" s="174"/>
      <c r="E258" s="174"/>
      <c r="F258" s="150"/>
      <c r="G258" s="174"/>
      <c r="H258" s="174"/>
      <c r="I258" s="174"/>
      <c r="J258" s="174"/>
      <c r="K258" s="174"/>
      <c r="L258" s="174"/>
      <c r="M258" s="174"/>
      <c r="N258" s="174"/>
      <c r="O258" s="227"/>
      <c r="P258" s="227"/>
      <c r="Q258" s="227"/>
      <c r="R258" s="227"/>
      <c r="S258" s="227"/>
      <c r="T258" s="227"/>
      <c r="U258" s="227"/>
      <c r="V258" s="227"/>
      <c r="W258" s="227"/>
      <c r="X258" s="227"/>
      <c r="Y258" s="227"/>
      <c r="Z258" s="227"/>
    </row>
    <row r="259" spans="1:26" ht="12.75" customHeight="1">
      <c r="A259" s="174"/>
      <c r="B259" s="174"/>
      <c r="C259" s="174"/>
      <c r="D259" s="174"/>
      <c r="E259" s="174"/>
      <c r="F259" s="150"/>
      <c r="G259" s="174"/>
      <c r="H259" s="174"/>
      <c r="I259" s="174"/>
      <c r="J259" s="174"/>
      <c r="K259" s="174"/>
      <c r="L259" s="174"/>
      <c r="M259" s="174"/>
      <c r="N259" s="174"/>
      <c r="O259" s="227"/>
      <c r="P259" s="227"/>
      <c r="Q259" s="227"/>
      <c r="R259" s="227"/>
      <c r="S259" s="227"/>
      <c r="T259" s="227"/>
      <c r="U259" s="227"/>
      <c r="V259" s="227"/>
      <c r="W259" s="227"/>
      <c r="X259" s="227"/>
      <c r="Y259" s="227"/>
      <c r="Z259" s="227"/>
    </row>
    <row r="260" spans="1:26" ht="12.75" customHeight="1">
      <c r="A260" s="174"/>
      <c r="B260" s="174"/>
      <c r="C260" s="174"/>
      <c r="D260" s="174"/>
      <c r="E260" s="174"/>
      <c r="F260" s="150"/>
      <c r="G260" s="174"/>
      <c r="H260" s="174"/>
      <c r="I260" s="174"/>
      <c r="J260" s="174"/>
      <c r="K260" s="174"/>
      <c r="L260" s="174"/>
      <c r="M260" s="174"/>
      <c r="N260" s="174"/>
      <c r="O260" s="227"/>
      <c r="P260" s="227"/>
      <c r="Q260" s="227"/>
      <c r="R260" s="227"/>
      <c r="S260" s="227"/>
      <c r="T260" s="227"/>
      <c r="U260" s="227"/>
      <c r="V260" s="227"/>
      <c r="W260" s="227"/>
      <c r="X260" s="227"/>
      <c r="Y260" s="227"/>
      <c r="Z260" s="227"/>
    </row>
    <row r="261" spans="1:26" ht="12.75" customHeight="1">
      <c r="A261" s="174"/>
      <c r="B261" s="174"/>
      <c r="C261" s="174"/>
      <c r="D261" s="174"/>
      <c r="E261" s="174"/>
      <c r="F261" s="150"/>
      <c r="G261" s="174"/>
      <c r="H261" s="174"/>
      <c r="I261" s="174"/>
      <c r="J261" s="174"/>
      <c r="K261" s="174"/>
      <c r="L261" s="174"/>
      <c r="M261" s="174"/>
      <c r="N261" s="174"/>
      <c r="O261" s="227"/>
      <c r="P261" s="227"/>
      <c r="Q261" s="227"/>
      <c r="R261" s="227"/>
      <c r="S261" s="227"/>
      <c r="T261" s="227"/>
      <c r="U261" s="227"/>
      <c r="V261" s="227"/>
      <c r="W261" s="227"/>
      <c r="X261" s="227"/>
      <c r="Y261" s="227"/>
      <c r="Z261" s="227"/>
    </row>
    <row r="262" spans="1:26" ht="12.75" customHeight="1">
      <c r="A262" s="174"/>
      <c r="B262" s="174"/>
      <c r="C262" s="174"/>
      <c r="D262" s="174"/>
      <c r="E262" s="174"/>
      <c r="F262" s="150"/>
      <c r="G262" s="174"/>
      <c r="H262" s="174"/>
      <c r="I262" s="174"/>
      <c r="J262" s="174"/>
      <c r="K262" s="174"/>
      <c r="L262" s="174"/>
      <c r="M262" s="174"/>
      <c r="N262" s="174"/>
      <c r="O262" s="227"/>
      <c r="P262" s="227"/>
      <c r="Q262" s="227"/>
      <c r="R262" s="227"/>
      <c r="S262" s="227"/>
      <c r="T262" s="227"/>
      <c r="U262" s="227"/>
      <c r="V262" s="227"/>
      <c r="W262" s="227"/>
      <c r="X262" s="227"/>
      <c r="Y262" s="227"/>
      <c r="Z262" s="227"/>
    </row>
    <row r="263" spans="1:26" ht="12.75" customHeight="1">
      <c r="A263" s="174"/>
      <c r="B263" s="174"/>
      <c r="C263" s="174"/>
      <c r="D263" s="174"/>
      <c r="E263" s="174"/>
      <c r="F263" s="150"/>
      <c r="G263" s="174"/>
      <c r="H263" s="174"/>
      <c r="I263" s="174"/>
      <c r="J263" s="174"/>
      <c r="K263" s="174"/>
      <c r="L263" s="174"/>
      <c r="M263" s="174"/>
      <c r="N263" s="174"/>
      <c r="O263" s="227"/>
      <c r="P263" s="227"/>
      <c r="Q263" s="227"/>
      <c r="R263" s="227"/>
      <c r="S263" s="227"/>
      <c r="T263" s="227"/>
      <c r="U263" s="227"/>
      <c r="V263" s="227"/>
      <c r="W263" s="227"/>
      <c r="X263" s="227"/>
      <c r="Y263" s="227"/>
      <c r="Z263" s="227"/>
    </row>
    <row r="264" spans="1:26" ht="12.75" customHeight="1">
      <c r="A264" s="174"/>
      <c r="B264" s="174"/>
      <c r="C264" s="174"/>
      <c r="D264" s="174"/>
      <c r="E264" s="174"/>
      <c r="F264" s="150"/>
      <c r="G264" s="174"/>
      <c r="H264" s="174"/>
      <c r="I264" s="174"/>
      <c r="J264" s="174"/>
      <c r="K264" s="174"/>
      <c r="L264" s="174"/>
      <c r="M264" s="174"/>
      <c r="N264" s="174"/>
      <c r="O264" s="227"/>
      <c r="P264" s="227"/>
      <c r="Q264" s="227"/>
      <c r="R264" s="227"/>
      <c r="S264" s="227"/>
      <c r="T264" s="227"/>
      <c r="U264" s="227"/>
      <c r="V264" s="227"/>
      <c r="W264" s="227"/>
      <c r="X264" s="227"/>
      <c r="Y264" s="227"/>
      <c r="Z264" s="227"/>
    </row>
    <row r="265" spans="1:26" ht="12.75" customHeight="1">
      <c r="A265" s="174"/>
      <c r="B265" s="174"/>
      <c r="C265" s="174"/>
      <c r="D265" s="174"/>
      <c r="E265" s="174"/>
      <c r="F265" s="150"/>
      <c r="G265" s="174"/>
      <c r="H265" s="174"/>
      <c r="I265" s="174"/>
      <c r="J265" s="174"/>
      <c r="K265" s="174"/>
      <c r="L265" s="174"/>
      <c r="M265" s="174"/>
      <c r="N265" s="174"/>
      <c r="O265" s="227"/>
      <c r="P265" s="227"/>
      <c r="Q265" s="227"/>
      <c r="R265" s="227"/>
      <c r="S265" s="227"/>
      <c r="T265" s="227"/>
      <c r="U265" s="227"/>
      <c r="V265" s="227"/>
      <c r="W265" s="227"/>
      <c r="X265" s="227"/>
      <c r="Y265" s="227"/>
      <c r="Z265" s="227"/>
    </row>
    <row r="266" spans="1:26" ht="12.75" customHeight="1">
      <c r="A266" s="174"/>
      <c r="B266" s="174"/>
      <c r="C266" s="174"/>
      <c r="D266" s="174"/>
      <c r="E266" s="174"/>
      <c r="F266" s="150"/>
      <c r="G266" s="174"/>
      <c r="H266" s="174"/>
      <c r="I266" s="174"/>
      <c r="J266" s="174"/>
      <c r="K266" s="174"/>
      <c r="L266" s="174"/>
      <c r="M266" s="174"/>
      <c r="N266" s="174"/>
      <c r="O266" s="227"/>
      <c r="P266" s="227"/>
      <c r="Q266" s="227"/>
      <c r="R266" s="227"/>
      <c r="S266" s="227"/>
      <c r="T266" s="227"/>
      <c r="U266" s="227"/>
      <c r="V266" s="227"/>
      <c r="W266" s="227"/>
      <c r="X266" s="227"/>
      <c r="Y266" s="227"/>
      <c r="Z266" s="227"/>
    </row>
    <row r="267" spans="1:26" ht="12.75" customHeight="1">
      <c r="A267" s="174"/>
      <c r="B267" s="174"/>
      <c r="C267" s="174"/>
      <c r="D267" s="174"/>
      <c r="E267" s="174"/>
      <c r="F267" s="150"/>
      <c r="G267" s="174"/>
      <c r="H267" s="174"/>
      <c r="I267" s="174"/>
      <c r="J267" s="174"/>
      <c r="K267" s="174"/>
      <c r="L267" s="174"/>
      <c r="M267" s="174"/>
      <c r="N267" s="174"/>
      <c r="O267" s="227"/>
      <c r="P267" s="227"/>
      <c r="Q267" s="227"/>
      <c r="R267" s="227"/>
      <c r="S267" s="227"/>
      <c r="T267" s="227"/>
      <c r="U267" s="227"/>
      <c r="V267" s="227"/>
      <c r="W267" s="227"/>
      <c r="X267" s="227"/>
      <c r="Y267" s="227"/>
      <c r="Z267" s="227"/>
    </row>
    <row r="268" spans="1:26" ht="12.75" customHeight="1">
      <c r="A268" s="174"/>
      <c r="B268" s="174"/>
      <c r="C268" s="174"/>
      <c r="D268" s="174"/>
      <c r="E268" s="174"/>
      <c r="F268" s="150"/>
      <c r="G268" s="174"/>
      <c r="H268" s="174"/>
      <c r="I268" s="174"/>
      <c r="J268" s="174"/>
      <c r="K268" s="174"/>
      <c r="L268" s="174"/>
      <c r="M268" s="174"/>
      <c r="N268" s="174"/>
      <c r="O268" s="227"/>
      <c r="P268" s="227"/>
      <c r="Q268" s="227"/>
      <c r="R268" s="227"/>
      <c r="S268" s="227"/>
      <c r="T268" s="227"/>
      <c r="U268" s="227"/>
      <c r="V268" s="227"/>
      <c r="W268" s="227"/>
      <c r="X268" s="227"/>
      <c r="Y268" s="227"/>
      <c r="Z268" s="227"/>
    </row>
    <row r="269" spans="1:26" ht="12.75" customHeight="1">
      <c r="A269" s="174"/>
      <c r="B269" s="174"/>
      <c r="C269" s="174"/>
      <c r="D269" s="174"/>
      <c r="E269" s="174"/>
      <c r="F269" s="150"/>
      <c r="G269" s="174"/>
      <c r="H269" s="174"/>
      <c r="I269" s="174"/>
      <c r="J269" s="174"/>
      <c r="K269" s="174"/>
      <c r="L269" s="174"/>
      <c r="M269" s="174"/>
      <c r="N269" s="174"/>
      <c r="O269" s="227"/>
      <c r="P269" s="227"/>
      <c r="Q269" s="227"/>
      <c r="R269" s="227"/>
      <c r="S269" s="227"/>
      <c r="T269" s="227"/>
      <c r="U269" s="227"/>
      <c r="V269" s="227"/>
      <c r="W269" s="227"/>
      <c r="X269" s="227"/>
      <c r="Y269" s="227"/>
      <c r="Z269" s="227"/>
    </row>
    <row r="270" spans="1:26" ht="12.75" customHeight="1">
      <c r="A270" s="174"/>
      <c r="B270" s="174"/>
      <c r="C270" s="174"/>
      <c r="D270" s="174"/>
      <c r="E270" s="174"/>
      <c r="F270" s="150"/>
      <c r="G270" s="174"/>
      <c r="H270" s="174"/>
      <c r="I270" s="174"/>
      <c r="J270" s="174"/>
      <c r="K270" s="174"/>
      <c r="L270" s="174"/>
      <c r="M270" s="174"/>
      <c r="N270" s="174"/>
      <c r="O270" s="227"/>
      <c r="P270" s="227"/>
      <c r="Q270" s="227"/>
      <c r="R270" s="227"/>
      <c r="S270" s="227"/>
      <c r="T270" s="227"/>
      <c r="U270" s="227"/>
      <c r="V270" s="227"/>
      <c r="W270" s="227"/>
      <c r="X270" s="227"/>
      <c r="Y270" s="227"/>
      <c r="Z270" s="227"/>
    </row>
    <row r="271" spans="1:26" ht="12.75" customHeight="1">
      <c r="A271" s="174"/>
      <c r="B271" s="174"/>
      <c r="C271" s="174"/>
      <c r="D271" s="174"/>
      <c r="E271" s="174"/>
      <c r="F271" s="150"/>
      <c r="G271" s="174"/>
      <c r="H271" s="174"/>
      <c r="I271" s="174"/>
      <c r="J271" s="174"/>
      <c r="K271" s="174"/>
      <c r="L271" s="174"/>
      <c r="M271" s="174"/>
      <c r="N271" s="174"/>
      <c r="O271" s="227"/>
      <c r="P271" s="227"/>
      <c r="Q271" s="227"/>
      <c r="R271" s="227"/>
      <c r="S271" s="227"/>
      <c r="T271" s="227"/>
      <c r="U271" s="227"/>
      <c r="V271" s="227"/>
      <c r="W271" s="227"/>
      <c r="X271" s="227"/>
      <c r="Y271" s="227"/>
      <c r="Z271" s="227"/>
    </row>
    <row r="272" spans="1:26" ht="12.75" customHeight="1">
      <c r="A272" s="174"/>
      <c r="B272" s="174"/>
      <c r="C272" s="174"/>
      <c r="D272" s="174"/>
      <c r="E272" s="174"/>
      <c r="F272" s="150"/>
      <c r="G272" s="174"/>
      <c r="H272" s="174"/>
      <c r="I272" s="174"/>
      <c r="J272" s="174"/>
      <c r="K272" s="174"/>
      <c r="L272" s="174"/>
      <c r="M272" s="174"/>
      <c r="N272" s="174"/>
      <c r="O272" s="227"/>
      <c r="P272" s="227"/>
      <c r="Q272" s="227"/>
      <c r="R272" s="227"/>
      <c r="S272" s="227"/>
      <c r="T272" s="227"/>
      <c r="U272" s="227"/>
      <c r="V272" s="227"/>
      <c r="W272" s="227"/>
      <c r="X272" s="227"/>
      <c r="Y272" s="227"/>
      <c r="Z272" s="227"/>
    </row>
    <row r="273" spans="1:26" ht="12.75" customHeight="1">
      <c r="A273" s="174"/>
      <c r="B273" s="174"/>
      <c r="C273" s="174"/>
      <c r="D273" s="174"/>
      <c r="E273" s="174"/>
      <c r="F273" s="150"/>
      <c r="G273" s="174"/>
      <c r="H273" s="174"/>
      <c r="I273" s="174"/>
      <c r="J273" s="174"/>
      <c r="K273" s="174"/>
      <c r="L273" s="174"/>
      <c r="M273" s="174"/>
      <c r="N273" s="174"/>
      <c r="O273" s="227"/>
      <c r="P273" s="227"/>
      <c r="Q273" s="227"/>
      <c r="R273" s="227"/>
      <c r="S273" s="227"/>
      <c r="T273" s="227"/>
      <c r="U273" s="227"/>
      <c r="V273" s="227"/>
      <c r="W273" s="227"/>
      <c r="X273" s="227"/>
      <c r="Y273" s="227"/>
      <c r="Z273" s="227"/>
    </row>
    <row r="274" spans="1:26" ht="12.75" customHeight="1">
      <c r="A274" s="174"/>
      <c r="B274" s="174"/>
      <c r="C274" s="174"/>
      <c r="D274" s="174"/>
      <c r="E274" s="174"/>
      <c r="F274" s="150"/>
      <c r="G274" s="174"/>
      <c r="H274" s="174"/>
      <c r="I274" s="174"/>
      <c r="J274" s="174"/>
      <c r="K274" s="174"/>
      <c r="L274" s="174"/>
      <c r="M274" s="174"/>
      <c r="N274" s="174"/>
      <c r="O274" s="227"/>
      <c r="P274" s="227"/>
      <c r="Q274" s="227"/>
      <c r="R274" s="227"/>
      <c r="S274" s="227"/>
      <c r="T274" s="227"/>
      <c r="U274" s="227"/>
      <c r="V274" s="227"/>
      <c r="W274" s="227"/>
      <c r="X274" s="227"/>
      <c r="Y274" s="227"/>
      <c r="Z274" s="227"/>
    </row>
    <row r="275" spans="1:26" ht="12.75" customHeight="1">
      <c r="A275" s="174"/>
      <c r="B275" s="174"/>
      <c r="C275" s="174"/>
      <c r="D275" s="174"/>
      <c r="E275" s="174"/>
      <c r="F275" s="150"/>
      <c r="G275" s="174"/>
      <c r="H275" s="174"/>
      <c r="I275" s="174"/>
      <c r="J275" s="174"/>
      <c r="K275" s="174"/>
      <c r="L275" s="174"/>
      <c r="M275" s="174"/>
      <c r="N275" s="174"/>
      <c r="O275" s="227"/>
      <c r="P275" s="227"/>
      <c r="Q275" s="227"/>
      <c r="R275" s="227"/>
      <c r="S275" s="227"/>
      <c r="T275" s="227"/>
      <c r="U275" s="227"/>
      <c r="V275" s="227"/>
      <c r="W275" s="227"/>
      <c r="X275" s="227"/>
      <c r="Y275" s="227"/>
      <c r="Z275" s="227"/>
    </row>
    <row r="276" spans="1:26" ht="12.75" customHeight="1">
      <c r="A276" s="174"/>
      <c r="B276" s="174"/>
      <c r="C276" s="174"/>
      <c r="D276" s="174"/>
      <c r="E276" s="174"/>
      <c r="F276" s="150"/>
      <c r="G276" s="174"/>
      <c r="H276" s="174"/>
      <c r="I276" s="174"/>
      <c r="J276" s="174"/>
      <c r="K276" s="174"/>
      <c r="L276" s="174"/>
      <c r="M276" s="174"/>
      <c r="N276" s="174"/>
      <c r="O276" s="227"/>
      <c r="P276" s="227"/>
      <c r="Q276" s="227"/>
      <c r="R276" s="227"/>
      <c r="S276" s="227"/>
      <c r="T276" s="227"/>
      <c r="U276" s="227"/>
      <c r="V276" s="227"/>
      <c r="W276" s="227"/>
      <c r="X276" s="227"/>
      <c r="Y276" s="227"/>
      <c r="Z276" s="227"/>
    </row>
    <row r="277" spans="1:26" ht="12.75" customHeight="1">
      <c r="A277" s="174"/>
      <c r="B277" s="174"/>
      <c r="C277" s="174"/>
      <c r="D277" s="174"/>
      <c r="E277" s="174"/>
      <c r="F277" s="150"/>
      <c r="G277" s="174"/>
      <c r="H277" s="174"/>
      <c r="I277" s="174"/>
      <c r="J277" s="174"/>
      <c r="K277" s="174"/>
      <c r="L277" s="174"/>
      <c r="M277" s="174"/>
      <c r="N277" s="174"/>
      <c r="O277" s="227"/>
      <c r="P277" s="227"/>
      <c r="Q277" s="227"/>
      <c r="R277" s="227"/>
      <c r="S277" s="227"/>
      <c r="T277" s="227"/>
      <c r="U277" s="227"/>
      <c r="V277" s="227"/>
      <c r="W277" s="227"/>
      <c r="X277" s="227"/>
      <c r="Y277" s="227"/>
      <c r="Z277" s="227"/>
    </row>
    <row r="278" spans="1:26" ht="12.75" customHeight="1">
      <c r="A278" s="174"/>
      <c r="B278" s="174"/>
      <c r="C278" s="174"/>
      <c r="D278" s="174"/>
      <c r="E278" s="174"/>
      <c r="F278" s="150"/>
      <c r="G278" s="174"/>
      <c r="H278" s="174"/>
      <c r="I278" s="174"/>
      <c r="J278" s="174"/>
      <c r="K278" s="174"/>
      <c r="L278" s="174"/>
      <c r="M278" s="174"/>
      <c r="N278" s="174"/>
      <c r="O278" s="227"/>
      <c r="P278" s="227"/>
      <c r="Q278" s="227"/>
      <c r="R278" s="227"/>
      <c r="S278" s="227"/>
      <c r="T278" s="227"/>
      <c r="U278" s="227"/>
      <c r="V278" s="227"/>
      <c r="W278" s="227"/>
      <c r="X278" s="227"/>
      <c r="Y278" s="227"/>
      <c r="Z278" s="227"/>
    </row>
    <row r="279" spans="1:26" ht="12.75" customHeight="1">
      <c r="A279" s="174"/>
      <c r="B279" s="174"/>
      <c r="C279" s="174"/>
      <c r="D279" s="174"/>
      <c r="E279" s="174"/>
      <c r="F279" s="150"/>
      <c r="G279" s="174"/>
      <c r="H279" s="174"/>
      <c r="I279" s="174"/>
      <c r="J279" s="174"/>
      <c r="K279" s="174"/>
      <c r="L279" s="174"/>
      <c r="M279" s="174"/>
      <c r="N279" s="174"/>
      <c r="O279" s="227"/>
      <c r="P279" s="227"/>
      <c r="Q279" s="227"/>
      <c r="R279" s="227"/>
      <c r="S279" s="227"/>
      <c r="T279" s="227"/>
      <c r="U279" s="227"/>
      <c r="V279" s="227"/>
      <c r="W279" s="227"/>
      <c r="X279" s="227"/>
      <c r="Y279" s="227"/>
      <c r="Z279" s="227"/>
    </row>
    <row r="280" spans="1:26" ht="12.75" customHeight="1">
      <c r="A280" s="174"/>
      <c r="B280" s="174"/>
      <c r="C280" s="174"/>
      <c r="D280" s="174"/>
      <c r="E280" s="174"/>
      <c r="F280" s="150"/>
      <c r="G280" s="174"/>
      <c r="H280" s="174"/>
      <c r="I280" s="174"/>
      <c r="J280" s="174"/>
      <c r="K280" s="174"/>
      <c r="L280" s="174"/>
      <c r="M280" s="174"/>
      <c r="N280" s="174"/>
      <c r="O280" s="227"/>
      <c r="P280" s="227"/>
      <c r="Q280" s="227"/>
      <c r="R280" s="227"/>
      <c r="S280" s="227"/>
      <c r="T280" s="227"/>
      <c r="U280" s="227"/>
      <c r="V280" s="227"/>
      <c r="W280" s="227"/>
      <c r="X280" s="227"/>
      <c r="Y280" s="227"/>
      <c r="Z280" s="227"/>
    </row>
    <row r="281" spans="1:26" ht="12.75" customHeight="1">
      <c r="A281" s="174"/>
      <c r="B281" s="174"/>
      <c r="C281" s="174"/>
      <c r="D281" s="174"/>
      <c r="E281" s="174"/>
      <c r="F281" s="150"/>
      <c r="G281" s="174"/>
      <c r="H281" s="174"/>
      <c r="I281" s="174"/>
      <c r="J281" s="174"/>
      <c r="K281" s="174"/>
      <c r="L281" s="174"/>
      <c r="M281" s="174"/>
      <c r="N281" s="174"/>
      <c r="O281" s="227"/>
      <c r="P281" s="227"/>
      <c r="Q281" s="227"/>
      <c r="R281" s="227"/>
      <c r="S281" s="227"/>
      <c r="T281" s="227"/>
      <c r="U281" s="227"/>
      <c r="V281" s="227"/>
      <c r="W281" s="227"/>
      <c r="X281" s="227"/>
      <c r="Y281" s="227"/>
      <c r="Z281" s="227"/>
    </row>
    <row r="282" spans="1:26" ht="12.75" customHeight="1">
      <c r="A282" s="174"/>
      <c r="B282" s="174"/>
      <c r="C282" s="174"/>
      <c r="D282" s="174"/>
      <c r="E282" s="174"/>
      <c r="F282" s="150"/>
      <c r="G282" s="174"/>
      <c r="H282" s="174"/>
      <c r="I282" s="174"/>
      <c r="J282" s="174"/>
      <c r="K282" s="174"/>
      <c r="L282" s="174"/>
      <c r="M282" s="174"/>
      <c r="N282" s="174"/>
      <c r="O282" s="227"/>
      <c r="P282" s="227"/>
      <c r="Q282" s="227"/>
      <c r="R282" s="227"/>
      <c r="S282" s="227"/>
      <c r="T282" s="227"/>
      <c r="U282" s="227"/>
      <c r="V282" s="227"/>
      <c r="W282" s="227"/>
      <c r="X282" s="227"/>
      <c r="Y282" s="227"/>
      <c r="Z282" s="227"/>
    </row>
    <row r="283" spans="1:26" ht="12.75" customHeight="1">
      <c r="A283" s="174"/>
      <c r="B283" s="174"/>
      <c r="C283" s="174"/>
      <c r="D283" s="174"/>
      <c r="E283" s="174"/>
      <c r="F283" s="150"/>
      <c r="G283" s="174"/>
      <c r="H283" s="174"/>
      <c r="I283" s="174"/>
      <c r="J283" s="174"/>
      <c r="K283" s="174"/>
      <c r="L283" s="174"/>
      <c r="M283" s="174"/>
      <c r="N283" s="174"/>
      <c r="O283" s="227"/>
      <c r="P283" s="227"/>
      <c r="Q283" s="227"/>
      <c r="R283" s="227"/>
      <c r="S283" s="227"/>
      <c r="T283" s="227"/>
      <c r="U283" s="227"/>
      <c r="V283" s="227"/>
      <c r="W283" s="227"/>
      <c r="X283" s="227"/>
      <c r="Y283" s="227"/>
      <c r="Z283" s="227"/>
    </row>
    <row r="284" spans="1:26" ht="12.75" customHeight="1">
      <c r="A284" s="174"/>
      <c r="B284" s="174"/>
      <c r="C284" s="174"/>
      <c r="D284" s="174"/>
      <c r="E284" s="174"/>
      <c r="F284" s="150"/>
      <c r="G284" s="174"/>
      <c r="H284" s="174"/>
      <c r="I284" s="174"/>
      <c r="J284" s="174"/>
      <c r="K284" s="174"/>
      <c r="L284" s="174"/>
      <c r="M284" s="174"/>
      <c r="N284" s="174"/>
      <c r="O284" s="227"/>
      <c r="P284" s="227"/>
      <c r="Q284" s="227"/>
      <c r="R284" s="227"/>
      <c r="S284" s="227"/>
      <c r="T284" s="227"/>
      <c r="U284" s="227"/>
      <c r="V284" s="227"/>
      <c r="W284" s="227"/>
      <c r="X284" s="227"/>
      <c r="Y284" s="227"/>
      <c r="Z284" s="227"/>
    </row>
    <row r="285" spans="1:26" ht="12.75" customHeight="1">
      <c r="A285" s="174"/>
      <c r="B285" s="174"/>
      <c r="C285" s="174"/>
      <c r="D285" s="174"/>
      <c r="E285" s="174"/>
      <c r="F285" s="150"/>
      <c r="G285" s="174"/>
      <c r="H285" s="174"/>
      <c r="I285" s="174"/>
      <c r="J285" s="174"/>
      <c r="K285" s="174"/>
      <c r="L285" s="174"/>
      <c r="M285" s="174"/>
      <c r="N285" s="174"/>
      <c r="O285" s="227"/>
      <c r="P285" s="227"/>
      <c r="Q285" s="227"/>
      <c r="R285" s="227"/>
      <c r="S285" s="227"/>
      <c r="T285" s="227"/>
      <c r="U285" s="227"/>
      <c r="V285" s="227"/>
      <c r="W285" s="227"/>
      <c r="X285" s="227"/>
      <c r="Y285" s="227"/>
      <c r="Z285" s="227"/>
    </row>
    <row r="286" spans="1:26" ht="12.75" customHeight="1">
      <c r="A286" s="174"/>
      <c r="B286" s="174"/>
      <c r="C286" s="174"/>
      <c r="D286" s="174"/>
      <c r="E286" s="174"/>
      <c r="F286" s="150"/>
      <c r="G286" s="174"/>
      <c r="H286" s="174"/>
      <c r="I286" s="174"/>
      <c r="J286" s="174"/>
      <c r="K286" s="174"/>
      <c r="L286" s="174"/>
      <c r="M286" s="174"/>
      <c r="N286" s="174"/>
      <c r="O286" s="227"/>
      <c r="P286" s="227"/>
      <c r="Q286" s="227"/>
      <c r="R286" s="227"/>
      <c r="S286" s="227"/>
      <c r="T286" s="227"/>
      <c r="U286" s="227"/>
      <c r="V286" s="227"/>
      <c r="W286" s="227"/>
      <c r="X286" s="227"/>
      <c r="Y286" s="227"/>
      <c r="Z286" s="227"/>
    </row>
    <row r="287" spans="1:26" ht="12.75" customHeight="1">
      <c r="A287" s="174"/>
      <c r="B287" s="174"/>
      <c r="C287" s="174"/>
      <c r="D287" s="174"/>
      <c r="E287" s="174"/>
      <c r="F287" s="150"/>
      <c r="G287" s="174"/>
      <c r="H287" s="174"/>
      <c r="I287" s="174"/>
      <c r="J287" s="174"/>
      <c r="K287" s="174"/>
      <c r="L287" s="174"/>
      <c r="M287" s="174"/>
      <c r="N287" s="174"/>
      <c r="O287" s="227"/>
      <c r="P287" s="227"/>
      <c r="Q287" s="227"/>
      <c r="R287" s="227"/>
      <c r="S287" s="227"/>
      <c r="T287" s="227"/>
      <c r="U287" s="227"/>
      <c r="V287" s="227"/>
      <c r="W287" s="227"/>
      <c r="X287" s="227"/>
      <c r="Y287" s="227"/>
      <c r="Z287" s="227"/>
    </row>
    <row r="288" spans="1:26" ht="12.75" customHeight="1">
      <c r="A288" s="174"/>
      <c r="B288" s="174"/>
      <c r="C288" s="174"/>
      <c r="D288" s="174"/>
      <c r="E288" s="174"/>
      <c r="F288" s="150"/>
      <c r="G288" s="174"/>
      <c r="H288" s="174"/>
      <c r="I288" s="174"/>
      <c r="J288" s="174"/>
      <c r="K288" s="174"/>
      <c r="L288" s="174"/>
      <c r="M288" s="174"/>
      <c r="N288" s="174"/>
      <c r="O288" s="227"/>
      <c r="P288" s="227"/>
      <c r="Q288" s="227"/>
      <c r="R288" s="227"/>
      <c r="S288" s="227"/>
      <c r="T288" s="227"/>
      <c r="U288" s="227"/>
      <c r="V288" s="227"/>
      <c r="W288" s="227"/>
      <c r="X288" s="227"/>
      <c r="Y288" s="227"/>
      <c r="Z288" s="227"/>
    </row>
    <row r="289" spans="1:26" ht="12.75" customHeight="1">
      <c r="A289" s="174"/>
      <c r="B289" s="174"/>
      <c r="C289" s="174"/>
      <c r="D289" s="174"/>
      <c r="E289" s="174"/>
      <c r="F289" s="150"/>
      <c r="G289" s="174"/>
      <c r="H289" s="174"/>
      <c r="I289" s="174"/>
      <c r="J289" s="174"/>
      <c r="K289" s="174"/>
      <c r="L289" s="174"/>
      <c r="M289" s="174"/>
      <c r="N289" s="174"/>
      <c r="O289" s="227"/>
      <c r="P289" s="227"/>
      <c r="Q289" s="227"/>
      <c r="R289" s="227"/>
      <c r="S289" s="227"/>
      <c r="T289" s="227"/>
      <c r="U289" s="227"/>
      <c r="V289" s="227"/>
      <c r="W289" s="227"/>
      <c r="X289" s="227"/>
      <c r="Y289" s="227"/>
      <c r="Z289" s="227"/>
    </row>
    <row r="290" spans="1:26" ht="12.75" customHeight="1">
      <c r="A290" s="174"/>
      <c r="B290" s="174"/>
      <c r="C290" s="174"/>
      <c r="D290" s="174"/>
      <c r="E290" s="174"/>
      <c r="F290" s="150"/>
      <c r="G290" s="174"/>
      <c r="H290" s="174"/>
      <c r="I290" s="174"/>
      <c r="J290" s="174"/>
      <c r="K290" s="174"/>
      <c r="L290" s="174"/>
      <c r="M290" s="174"/>
      <c r="N290" s="174"/>
      <c r="O290" s="227"/>
      <c r="P290" s="227"/>
      <c r="Q290" s="227"/>
      <c r="R290" s="227"/>
      <c r="S290" s="227"/>
      <c r="T290" s="227"/>
      <c r="U290" s="227"/>
      <c r="V290" s="227"/>
      <c r="W290" s="227"/>
      <c r="X290" s="227"/>
      <c r="Y290" s="227"/>
      <c r="Z290" s="227"/>
    </row>
    <row r="291" spans="1:26" ht="12.75" customHeight="1">
      <c r="A291" s="174"/>
      <c r="B291" s="174"/>
      <c r="C291" s="174"/>
      <c r="D291" s="174"/>
      <c r="E291" s="174"/>
      <c r="F291" s="150"/>
      <c r="G291" s="174"/>
      <c r="H291" s="174"/>
      <c r="I291" s="174"/>
      <c r="J291" s="174"/>
      <c r="K291" s="174"/>
      <c r="L291" s="174"/>
      <c r="M291" s="174"/>
      <c r="N291" s="174"/>
      <c r="O291" s="227"/>
      <c r="P291" s="227"/>
      <c r="Q291" s="227"/>
      <c r="R291" s="227"/>
      <c r="S291" s="227"/>
      <c r="T291" s="227"/>
      <c r="U291" s="227"/>
      <c r="V291" s="227"/>
      <c r="W291" s="227"/>
      <c r="X291" s="227"/>
      <c r="Y291" s="227"/>
      <c r="Z291" s="227"/>
    </row>
    <row r="292" spans="1:26" ht="12.75" customHeight="1">
      <c r="A292" s="174"/>
      <c r="B292" s="174"/>
      <c r="C292" s="174"/>
      <c r="D292" s="174"/>
      <c r="E292" s="174"/>
      <c r="F292" s="150"/>
      <c r="G292" s="174"/>
      <c r="H292" s="174"/>
      <c r="I292" s="174"/>
      <c r="J292" s="174"/>
      <c r="K292" s="174"/>
      <c r="L292" s="174"/>
      <c r="M292" s="174"/>
      <c r="N292" s="174"/>
      <c r="O292" s="227"/>
      <c r="P292" s="227"/>
      <c r="Q292" s="227"/>
      <c r="R292" s="227"/>
      <c r="S292" s="227"/>
      <c r="T292" s="227"/>
      <c r="U292" s="227"/>
      <c r="V292" s="227"/>
      <c r="W292" s="227"/>
      <c r="X292" s="227"/>
      <c r="Y292" s="227"/>
      <c r="Z292" s="227"/>
    </row>
    <row r="293" spans="1:26" ht="12.75" customHeight="1">
      <c r="A293" s="174"/>
      <c r="B293" s="174"/>
      <c r="C293" s="174"/>
      <c r="D293" s="174"/>
      <c r="E293" s="174"/>
      <c r="F293" s="150"/>
      <c r="G293" s="174"/>
      <c r="H293" s="174"/>
      <c r="I293" s="174"/>
      <c r="J293" s="174"/>
      <c r="K293" s="174"/>
      <c r="L293" s="174"/>
      <c r="M293" s="174"/>
      <c r="N293" s="174"/>
      <c r="O293" s="227"/>
      <c r="P293" s="227"/>
      <c r="Q293" s="227"/>
      <c r="R293" s="227"/>
      <c r="S293" s="227"/>
      <c r="T293" s="227"/>
      <c r="U293" s="227"/>
      <c r="V293" s="227"/>
      <c r="W293" s="227"/>
      <c r="X293" s="227"/>
      <c r="Y293" s="227"/>
      <c r="Z293" s="227"/>
    </row>
    <row r="294" spans="1:26" ht="12.75" customHeight="1">
      <c r="A294" s="174"/>
      <c r="B294" s="174"/>
      <c r="C294" s="174"/>
      <c r="D294" s="174"/>
      <c r="E294" s="174"/>
      <c r="F294" s="150"/>
      <c r="G294" s="174"/>
      <c r="H294" s="174"/>
      <c r="I294" s="174"/>
      <c r="J294" s="174"/>
      <c r="K294" s="174"/>
      <c r="L294" s="174"/>
      <c r="M294" s="174"/>
      <c r="N294" s="174"/>
      <c r="O294" s="227"/>
      <c r="P294" s="227"/>
      <c r="Q294" s="227"/>
      <c r="R294" s="227"/>
      <c r="S294" s="227"/>
      <c r="T294" s="227"/>
      <c r="U294" s="227"/>
      <c r="V294" s="227"/>
      <c r="W294" s="227"/>
      <c r="X294" s="227"/>
      <c r="Y294" s="227"/>
      <c r="Z294" s="227"/>
    </row>
    <row r="295" spans="1:26" ht="12.75" customHeight="1">
      <c r="A295" s="174"/>
      <c r="B295" s="174"/>
      <c r="C295" s="174"/>
      <c r="D295" s="174"/>
      <c r="E295" s="174"/>
      <c r="F295" s="150"/>
      <c r="G295" s="174"/>
      <c r="H295" s="174"/>
      <c r="I295" s="174"/>
      <c r="J295" s="174"/>
      <c r="K295" s="174"/>
      <c r="L295" s="174"/>
      <c r="M295" s="174"/>
      <c r="N295" s="174"/>
      <c r="O295" s="227"/>
      <c r="P295" s="227"/>
      <c r="Q295" s="227"/>
      <c r="R295" s="227"/>
      <c r="S295" s="227"/>
      <c r="T295" s="227"/>
      <c r="U295" s="227"/>
      <c r="V295" s="227"/>
      <c r="W295" s="227"/>
      <c r="X295" s="227"/>
      <c r="Y295" s="227"/>
      <c r="Z295" s="227"/>
    </row>
    <row r="296" spans="1:26" ht="12.75" customHeight="1">
      <c r="A296" s="174"/>
      <c r="B296" s="174"/>
      <c r="C296" s="174"/>
      <c r="D296" s="174"/>
      <c r="E296" s="174"/>
      <c r="F296" s="150"/>
      <c r="G296" s="174"/>
      <c r="H296" s="174"/>
      <c r="I296" s="174"/>
      <c r="J296" s="174"/>
      <c r="K296" s="174"/>
      <c r="L296" s="174"/>
      <c r="M296" s="174"/>
      <c r="N296" s="174"/>
      <c r="O296" s="227"/>
      <c r="P296" s="227"/>
      <c r="Q296" s="227"/>
      <c r="R296" s="227"/>
      <c r="S296" s="227"/>
      <c r="T296" s="227"/>
      <c r="U296" s="227"/>
      <c r="V296" s="227"/>
      <c r="W296" s="227"/>
      <c r="X296" s="227"/>
      <c r="Y296" s="227"/>
      <c r="Z296" s="227"/>
    </row>
    <row r="297" spans="1:26" ht="12.75" customHeight="1">
      <c r="A297" s="174"/>
      <c r="B297" s="174"/>
      <c r="C297" s="174"/>
      <c r="D297" s="174"/>
      <c r="E297" s="174"/>
      <c r="F297" s="150"/>
      <c r="G297" s="174"/>
      <c r="H297" s="174"/>
      <c r="I297" s="174"/>
      <c r="J297" s="174"/>
      <c r="K297" s="174"/>
      <c r="L297" s="174"/>
      <c r="M297" s="174"/>
      <c r="N297" s="174"/>
      <c r="O297" s="227"/>
      <c r="P297" s="227"/>
      <c r="Q297" s="227"/>
      <c r="R297" s="227"/>
      <c r="S297" s="227"/>
      <c r="T297" s="227"/>
      <c r="U297" s="227"/>
      <c r="V297" s="227"/>
      <c r="W297" s="227"/>
      <c r="X297" s="227"/>
      <c r="Y297" s="227"/>
      <c r="Z297" s="227"/>
    </row>
    <row r="298" spans="1:26" ht="12.75" customHeight="1">
      <c r="A298" s="174"/>
      <c r="B298" s="174"/>
      <c r="C298" s="174"/>
      <c r="D298" s="174"/>
      <c r="E298" s="174"/>
      <c r="F298" s="150"/>
      <c r="G298" s="174"/>
      <c r="H298" s="174"/>
      <c r="I298" s="174"/>
      <c r="J298" s="174"/>
      <c r="K298" s="174"/>
      <c r="L298" s="174"/>
      <c r="M298" s="174"/>
      <c r="N298" s="174"/>
      <c r="O298" s="227"/>
      <c r="P298" s="227"/>
      <c r="Q298" s="227"/>
      <c r="R298" s="227"/>
      <c r="S298" s="227"/>
      <c r="T298" s="227"/>
      <c r="U298" s="227"/>
      <c r="V298" s="227"/>
      <c r="W298" s="227"/>
      <c r="X298" s="227"/>
      <c r="Y298" s="227"/>
      <c r="Z298" s="227"/>
    </row>
    <row r="299" spans="1:26" ht="12.75" customHeight="1">
      <c r="A299" s="174"/>
      <c r="B299" s="174"/>
      <c r="C299" s="174"/>
      <c r="D299" s="174"/>
      <c r="E299" s="174"/>
      <c r="F299" s="150"/>
      <c r="G299" s="174"/>
      <c r="H299" s="174"/>
      <c r="I299" s="174"/>
      <c r="J299" s="174"/>
      <c r="K299" s="174"/>
      <c r="L299" s="174"/>
      <c r="M299" s="174"/>
      <c r="N299" s="174"/>
      <c r="O299" s="227"/>
      <c r="P299" s="227"/>
      <c r="Q299" s="227"/>
      <c r="R299" s="227"/>
      <c r="S299" s="227"/>
      <c r="T299" s="227"/>
      <c r="U299" s="227"/>
      <c r="V299" s="227"/>
      <c r="W299" s="227"/>
      <c r="X299" s="227"/>
      <c r="Y299" s="227"/>
      <c r="Z299" s="227"/>
    </row>
    <row r="300" spans="1:26" ht="12.75" customHeight="1">
      <c r="A300" s="174"/>
      <c r="B300" s="174"/>
      <c r="C300" s="174"/>
      <c r="D300" s="174"/>
      <c r="E300" s="174"/>
      <c r="F300" s="150"/>
      <c r="G300" s="174"/>
      <c r="H300" s="174"/>
      <c r="I300" s="174"/>
      <c r="J300" s="174"/>
      <c r="K300" s="174"/>
      <c r="L300" s="174"/>
      <c r="M300" s="174"/>
      <c r="N300" s="174"/>
      <c r="O300" s="227"/>
      <c r="P300" s="227"/>
      <c r="Q300" s="227"/>
      <c r="R300" s="227"/>
      <c r="S300" s="227"/>
      <c r="T300" s="227"/>
      <c r="U300" s="227"/>
      <c r="V300" s="227"/>
      <c r="W300" s="227"/>
      <c r="X300" s="227"/>
      <c r="Y300" s="227"/>
      <c r="Z300" s="227"/>
    </row>
    <row r="301" spans="1:26" ht="12.75" customHeight="1">
      <c r="A301" s="174"/>
      <c r="B301" s="174"/>
      <c r="C301" s="174"/>
      <c r="D301" s="174"/>
      <c r="E301" s="174"/>
      <c r="F301" s="150"/>
      <c r="G301" s="174"/>
      <c r="H301" s="174"/>
      <c r="I301" s="174"/>
      <c r="J301" s="174"/>
      <c r="K301" s="174"/>
      <c r="L301" s="174"/>
      <c r="M301" s="174"/>
      <c r="N301" s="174"/>
      <c r="O301" s="227"/>
      <c r="P301" s="227"/>
      <c r="Q301" s="227"/>
      <c r="R301" s="227"/>
      <c r="S301" s="227"/>
      <c r="T301" s="227"/>
      <c r="U301" s="227"/>
      <c r="V301" s="227"/>
      <c r="W301" s="227"/>
      <c r="X301" s="227"/>
      <c r="Y301" s="227"/>
      <c r="Z301" s="227"/>
    </row>
    <row r="302" spans="1:26" ht="12.75" customHeight="1">
      <c r="A302" s="174"/>
      <c r="B302" s="174"/>
      <c r="C302" s="174"/>
      <c r="D302" s="174"/>
      <c r="E302" s="174"/>
      <c r="F302" s="150"/>
      <c r="G302" s="174"/>
      <c r="H302" s="174"/>
      <c r="I302" s="174"/>
      <c r="J302" s="174"/>
      <c r="K302" s="174"/>
      <c r="L302" s="174"/>
      <c r="M302" s="174"/>
      <c r="N302" s="174"/>
      <c r="O302" s="227"/>
      <c r="P302" s="227"/>
      <c r="Q302" s="227"/>
      <c r="R302" s="227"/>
      <c r="S302" s="227"/>
      <c r="T302" s="227"/>
      <c r="U302" s="227"/>
      <c r="V302" s="227"/>
      <c r="W302" s="227"/>
      <c r="X302" s="227"/>
      <c r="Y302" s="227"/>
      <c r="Z302" s="227"/>
    </row>
    <row r="303" spans="1:26" ht="12.75" customHeight="1">
      <c r="A303" s="174"/>
      <c r="B303" s="174"/>
      <c r="C303" s="174"/>
      <c r="D303" s="174"/>
      <c r="E303" s="174"/>
      <c r="F303" s="150"/>
      <c r="G303" s="174"/>
      <c r="H303" s="174"/>
      <c r="I303" s="174"/>
      <c r="J303" s="174"/>
      <c r="K303" s="174"/>
      <c r="L303" s="174"/>
      <c r="M303" s="174"/>
      <c r="N303" s="174"/>
      <c r="O303" s="227"/>
      <c r="P303" s="227"/>
      <c r="Q303" s="227"/>
      <c r="R303" s="227"/>
      <c r="S303" s="227"/>
      <c r="T303" s="227"/>
      <c r="U303" s="227"/>
      <c r="V303" s="227"/>
      <c r="W303" s="227"/>
      <c r="X303" s="227"/>
      <c r="Y303" s="227"/>
      <c r="Z303" s="227"/>
    </row>
    <row r="304" spans="1:26" ht="12.75" customHeight="1">
      <c r="A304" s="174"/>
      <c r="B304" s="174"/>
      <c r="C304" s="174"/>
      <c r="D304" s="174"/>
      <c r="E304" s="174"/>
      <c r="F304" s="150"/>
      <c r="G304" s="174"/>
      <c r="H304" s="174"/>
      <c r="I304" s="174"/>
      <c r="J304" s="174"/>
      <c r="K304" s="174"/>
      <c r="L304" s="174"/>
      <c r="M304" s="174"/>
      <c r="N304" s="174"/>
      <c r="O304" s="227"/>
      <c r="P304" s="227"/>
      <c r="Q304" s="227"/>
      <c r="R304" s="227"/>
      <c r="S304" s="227"/>
      <c r="T304" s="227"/>
      <c r="U304" s="227"/>
      <c r="V304" s="227"/>
      <c r="W304" s="227"/>
      <c r="X304" s="227"/>
      <c r="Y304" s="227"/>
      <c r="Z304" s="227"/>
    </row>
    <row r="305" spans="1:26" ht="12.75" customHeight="1">
      <c r="A305" s="174"/>
      <c r="B305" s="174"/>
      <c r="C305" s="174"/>
      <c r="D305" s="174"/>
      <c r="E305" s="174"/>
      <c r="F305" s="150"/>
      <c r="G305" s="174"/>
      <c r="H305" s="174"/>
      <c r="I305" s="174"/>
      <c r="J305" s="174"/>
      <c r="K305" s="174"/>
      <c r="L305" s="174"/>
      <c r="M305" s="174"/>
      <c r="N305" s="174"/>
      <c r="O305" s="227"/>
      <c r="P305" s="227"/>
      <c r="Q305" s="227"/>
      <c r="R305" s="227"/>
      <c r="S305" s="227"/>
      <c r="T305" s="227"/>
      <c r="U305" s="227"/>
      <c r="V305" s="227"/>
      <c r="W305" s="227"/>
      <c r="X305" s="227"/>
      <c r="Y305" s="227"/>
      <c r="Z305" s="227"/>
    </row>
    <row r="306" spans="1:26" ht="12.75" customHeight="1">
      <c r="A306" s="174"/>
      <c r="B306" s="174"/>
      <c r="C306" s="174"/>
      <c r="D306" s="174"/>
      <c r="E306" s="174"/>
      <c r="F306" s="150"/>
      <c r="G306" s="174"/>
      <c r="H306" s="174"/>
      <c r="I306" s="174"/>
      <c r="J306" s="174"/>
      <c r="K306" s="174"/>
      <c r="L306" s="174"/>
      <c r="M306" s="174"/>
      <c r="N306" s="174"/>
      <c r="O306" s="227"/>
      <c r="P306" s="227"/>
      <c r="Q306" s="227"/>
      <c r="R306" s="227"/>
      <c r="S306" s="227"/>
      <c r="T306" s="227"/>
      <c r="U306" s="227"/>
      <c r="V306" s="227"/>
      <c r="W306" s="227"/>
      <c r="X306" s="227"/>
      <c r="Y306" s="227"/>
      <c r="Z306" s="227"/>
    </row>
    <row r="307" spans="1:26" ht="12.75" customHeight="1">
      <c r="A307" s="174"/>
      <c r="B307" s="174"/>
      <c r="C307" s="174"/>
      <c r="D307" s="174"/>
      <c r="E307" s="174"/>
      <c r="F307" s="150"/>
      <c r="G307" s="174"/>
      <c r="H307" s="174"/>
      <c r="I307" s="174"/>
      <c r="J307" s="174"/>
      <c r="K307" s="174"/>
      <c r="L307" s="174"/>
      <c r="M307" s="174"/>
      <c r="N307" s="174"/>
      <c r="O307" s="227"/>
      <c r="P307" s="227"/>
      <c r="Q307" s="227"/>
      <c r="R307" s="227"/>
      <c r="S307" s="227"/>
      <c r="T307" s="227"/>
      <c r="U307" s="227"/>
      <c r="V307" s="227"/>
      <c r="W307" s="227"/>
      <c r="X307" s="227"/>
      <c r="Y307" s="227"/>
      <c r="Z307" s="227"/>
    </row>
    <row r="308" spans="1:26" ht="12.75" customHeight="1">
      <c r="A308" s="174"/>
      <c r="B308" s="174"/>
      <c r="C308" s="174"/>
      <c r="D308" s="174"/>
      <c r="E308" s="174"/>
      <c r="F308" s="150"/>
      <c r="G308" s="174"/>
      <c r="H308" s="174"/>
      <c r="I308" s="174"/>
      <c r="J308" s="174"/>
      <c r="K308" s="174"/>
      <c r="L308" s="174"/>
      <c r="M308" s="174"/>
      <c r="N308" s="174"/>
      <c r="O308" s="227"/>
      <c r="P308" s="227"/>
      <c r="Q308" s="227"/>
      <c r="R308" s="227"/>
      <c r="S308" s="227"/>
      <c r="T308" s="227"/>
      <c r="U308" s="227"/>
      <c r="V308" s="227"/>
      <c r="W308" s="227"/>
      <c r="X308" s="227"/>
      <c r="Y308" s="227"/>
      <c r="Z308" s="227"/>
    </row>
    <row r="309" spans="1:26" ht="12.75" customHeight="1">
      <c r="A309" s="174"/>
      <c r="B309" s="174"/>
      <c r="C309" s="174"/>
      <c r="D309" s="174"/>
      <c r="E309" s="174"/>
      <c r="F309" s="150"/>
      <c r="G309" s="174"/>
      <c r="H309" s="174"/>
      <c r="I309" s="174"/>
      <c r="J309" s="174"/>
      <c r="K309" s="174"/>
      <c r="L309" s="174"/>
      <c r="M309" s="174"/>
      <c r="N309" s="174"/>
      <c r="O309" s="227"/>
      <c r="P309" s="227"/>
      <c r="Q309" s="227"/>
      <c r="R309" s="227"/>
      <c r="S309" s="227"/>
      <c r="T309" s="227"/>
      <c r="U309" s="227"/>
      <c r="V309" s="227"/>
      <c r="W309" s="227"/>
      <c r="X309" s="227"/>
      <c r="Y309" s="227"/>
      <c r="Z309" s="227"/>
    </row>
    <row r="310" spans="1:26" ht="12.75" customHeight="1">
      <c r="A310" s="174"/>
      <c r="B310" s="174"/>
      <c r="C310" s="174"/>
      <c r="D310" s="174"/>
      <c r="E310" s="174"/>
      <c r="F310" s="150"/>
      <c r="G310" s="174"/>
      <c r="H310" s="174"/>
      <c r="I310" s="174"/>
      <c r="J310" s="174"/>
      <c r="K310" s="174"/>
      <c r="L310" s="174"/>
      <c r="M310" s="174"/>
      <c r="N310" s="174"/>
      <c r="O310" s="227"/>
      <c r="P310" s="227"/>
      <c r="Q310" s="227"/>
      <c r="R310" s="227"/>
      <c r="S310" s="227"/>
      <c r="T310" s="227"/>
      <c r="U310" s="227"/>
      <c r="V310" s="227"/>
      <c r="W310" s="227"/>
      <c r="X310" s="227"/>
      <c r="Y310" s="227"/>
      <c r="Z310" s="227"/>
    </row>
    <row r="311" spans="1:26" ht="12.75" customHeight="1">
      <c r="A311" s="174"/>
      <c r="B311" s="174"/>
      <c r="C311" s="174"/>
      <c r="D311" s="174"/>
      <c r="E311" s="174"/>
      <c r="F311" s="150"/>
      <c r="G311" s="174"/>
      <c r="H311" s="174"/>
      <c r="I311" s="174"/>
      <c r="J311" s="174"/>
      <c r="K311" s="174"/>
      <c r="L311" s="174"/>
      <c r="M311" s="174"/>
      <c r="N311" s="174"/>
      <c r="O311" s="227"/>
      <c r="P311" s="227"/>
      <c r="Q311" s="227"/>
      <c r="R311" s="227"/>
      <c r="S311" s="227"/>
      <c r="T311" s="227"/>
      <c r="U311" s="227"/>
      <c r="V311" s="227"/>
      <c r="W311" s="227"/>
      <c r="X311" s="227"/>
      <c r="Y311" s="227"/>
      <c r="Z311" s="227"/>
    </row>
    <row r="312" spans="1:26" ht="12.75" customHeight="1">
      <c r="A312" s="174"/>
      <c r="B312" s="174"/>
      <c r="C312" s="174"/>
      <c r="D312" s="174"/>
      <c r="E312" s="174"/>
      <c r="F312" s="150"/>
      <c r="G312" s="174"/>
      <c r="H312" s="174"/>
      <c r="I312" s="174"/>
      <c r="J312" s="174"/>
      <c r="K312" s="174"/>
      <c r="L312" s="174"/>
      <c r="M312" s="174"/>
      <c r="N312" s="174"/>
      <c r="O312" s="227"/>
      <c r="P312" s="227"/>
      <c r="Q312" s="227"/>
      <c r="R312" s="227"/>
      <c r="S312" s="227"/>
      <c r="T312" s="227"/>
      <c r="U312" s="227"/>
      <c r="V312" s="227"/>
      <c r="W312" s="227"/>
      <c r="X312" s="227"/>
      <c r="Y312" s="227"/>
      <c r="Z312" s="227"/>
    </row>
    <row r="313" spans="1:26" ht="12.75" customHeight="1">
      <c r="A313" s="174"/>
      <c r="B313" s="174"/>
      <c r="C313" s="174"/>
      <c r="D313" s="174"/>
      <c r="E313" s="174"/>
      <c r="F313" s="150"/>
      <c r="G313" s="174"/>
      <c r="H313" s="174"/>
      <c r="I313" s="174"/>
      <c r="J313" s="174"/>
      <c r="K313" s="174"/>
      <c r="L313" s="174"/>
      <c r="M313" s="174"/>
      <c r="N313" s="174"/>
      <c r="O313" s="227"/>
      <c r="P313" s="227"/>
      <c r="Q313" s="227"/>
      <c r="R313" s="227"/>
      <c r="S313" s="227"/>
      <c r="T313" s="227"/>
      <c r="U313" s="227"/>
      <c r="V313" s="227"/>
      <c r="W313" s="227"/>
      <c r="X313" s="227"/>
      <c r="Y313" s="227"/>
      <c r="Z313" s="227"/>
    </row>
    <row r="314" spans="1:26" ht="12.75" customHeight="1">
      <c r="A314" s="174"/>
      <c r="B314" s="174"/>
      <c r="C314" s="174"/>
      <c r="D314" s="174"/>
      <c r="E314" s="174"/>
      <c r="F314" s="150"/>
      <c r="G314" s="174"/>
      <c r="H314" s="174"/>
      <c r="I314" s="174"/>
      <c r="J314" s="174"/>
      <c r="K314" s="174"/>
      <c r="L314" s="174"/>
      <c r="M314" s="174"/>
      <c r="N314" s="174"/>
      <c r="O314" s="227"/>
      <c r="P314" s="227"/>
      <c r="Q314" s="227"/>
      <c r="R314" s="227"/>
      <c r="S314" s="227"/>
      <c r="T314" s="227"/>
      <c r="U314" s="227"/>
      <c r="V314" s="227"/>
      <c r="W314" s="227"/>
      <c r="X314" s="227"/>
      <c r="Y314" s="227"/>
      <c r="Z314" s="227"/>
    </row>
    <row r="315" spans="1:26" ht="12.75" customHeight="1">
      <c r="A315" s="174"/>
      <c r="B315" s="174"/>
      <c r="C315" s="174"/>
      <c r="D315" s="174"/>
      <c r="E315" s="174"/>
      <c r="F315" s="150"/>
      <c r="G315" s="174"/>
      <c r="H315" s="174"/>
      <c r="I315" s="174"/>
      <c r="J315" s="174"/>
      <c r="K315" s="174"/>
      <c r="L315" s="174"/>
      <c r="M315" s="174"/>
      <c r="N315" s="174"/>
      <c r="O315" s="227"/>
      <c r="P315" s="227"/>
      <c r="Q315" s="227"/>
      <c r="R315" s="227"/>
      <c r="S315" s="227"/>
      <c r="T315" s="227"/>
      <c r="U315" s="227"/>
      <c r="V315" s="227"/>
      <c r="W315" s="227"/>
      <c r="X315" s="227"/>
      <c r="Y315" s="227"/>
      <c r="Z315" s="227"/>
    </row>
    <row r="316" spans="1:26" ht="12.75" customHeight="1">
      <c r="A316" s="174"/>
      <c r="B316" s="174"/>
      <c r="C316" s="174"/>
      <c r="D316" s="174"/>
      <c r="E316" s="174"/>
      <c r="F316" s="150"/>
      <c r="G316" s="174"/>
      <c r="H316" s="174"/>
      <c r="I316" s="174"/>
      <c r="J316" s="174"/>
      <c r="K316" s="174"/>
      <c r="L316" s="174"/>
      <c r="M316" s="174"/>
      <c r="N316" s="174"/>
      <c r="O316" s="227"/>
      <c r="P316" s="227"/>
      <c r="Q316" s="227"/>
      <c r="R316" s="227"/>
      <c r="S316" s="227"/>
      <c r="T316" s="227"/>
      <c r="U316" s="227"/>
      <c r="V316" s="227"/>
      <c r="W316" s="227"/>
      <c r="X316" s="227"/>
      <c r="Y316" s="227"/>
      <c r="Z316" s="227"/>
    </row>
    <row r="317" spans="1:26" ht="12.75" customHeight="1">
      <c r="A317" s="174"/>
      <c r="B317" s="174"/>
      <c r="C317" s="174"/>
      <c r="D317" s="174"/>
      <c r="E317" s="174"/>
      <c r="F317" s="150"/>
      <c r="G317" s="174"/>
      <c r="H317" s="174"/>
      <c r="I317" s="174"/>
      <c r="J317" s="174"/>
      <c r="K317" s="174"/>
      <c r="L317" s="174"/>
      <c r="M317" s="174"/>
      <c r="N317" s="174"/>
      <c r="O317" s="227"/>
      <c r="P317" s="227"/>
      <c r="Q317" s="227"/>
      <c r="R317" s="227"/>
      <c r="S317" s="227"/>
      <c r="T317" s="227"/>
      <c r="U317" s="227"/>
      <c r="V317" s="227"/>
      <c r="W317" s="227"/>
      <c r="X317" s="227"/>
      <c r="Y317" s="227"/>
      <c r="Z317" s="227"/>
    </row>
    <row r="318" spans="1:26" ht="12.75" customHeight="1">
      <c r="A318" s="174"/>
      <c r="B318" s="174"/>
      <c r="C318" s="174"/>
      <c r="D318" s="174"/>
      <c r="E318" s="174"/>
      <c r="F318" s="150"/>
      <c r="G318" s="174"/>
      <c r="H318" s="174"/>
      <c r="I318" s="174"/>
      <c r="J318" s="174"/>
      <c r="K318" s="174"/>
      <c r="L318" s="174"/>
      <c r="M318" s="174"/>
      <c r="N318" s="174"/>
      <c r="O318" s="227"/>
      <c r="P318" s="227"/>
      <c r="Q318" s="227"/>
      <c r="R318" s="227"/>
      <c r="S318" s="227"/>
      <c r="T318" s="227"/>
      <c r="U318" s="227"/>
      <c r="V318" s="227"/>
      <c r="W318" s="227"/>
      <c r="X318" s="227"/>
      <c r="Y318" s="227"/>
      <c r="Z318" s="227"/>
    </row>
    <row r="319" spans="1:26" ht="12.75" customHeight="1">
      <c r="A319" s="174"/>
      <c r="B319" s="174"/>
      <c r="C319" s="174"/>
      <c r="D319" s="174"/>
      <c r="E319" s="174"/>
      <c r="F319" s="150"/>
      <c r="G319" s="174"/>
      <c r="H319" s="174"/>
      <c r="I319" s="174"/>
      <c r="J319" s="174"/>
      <c r="K319" s="174"/>
      <c r="L319" s="174"/>
      <c r="M319" s="174"/>
      <c r="N319" s="174"/>
      <c r="O319" s="227"/>
      <c r="P319" s="227"/>
      <c r="Q319" s="227"/>
      <c r="R319" s="227"/>
      <c r="S319" s="227"/>
      <c r="T319" s="227"/>
      <c r="U319" s="227"/>
      <c r="V319" s="227"/>
      <c r="W319" s="227"/>
      <c r="X319" s="227"/>
      <c r="Y319" s="227"/>
      <c r="Z319" s="227"/>
    </row>
    <row r="320" spans="1:26" ht="12.75" customHeight="1">
      <c r="A320" s="174"/>
      <c r="B320" s="174"/>
      <c r="C320" s="174"/>
      <c r="D320" s="174"/>
      <c r="E320" s="174"/>
      <c r="F320" s="150"/>
      <c r="G320" s="174"/>
      <c r="H320" s="174"/>
      <c r="I320" s="174"/>
      <c r="J320" s="174"/>
      <c r="K320" s="174"/>
      <c r="L320" s="174"/>
      <c r="M320" s="174"/>
      <c r="N320" s="174"/>
      <c r="O320" s="227"/>
      <c r="P320" s="227"/>
      <c r="Q320" s="227"/>
      <c r="R320" s="227"/>
      <c r="S320" s="227"/>
      <c r="T320" s="227"/>
      <c r="U320" s="227"/>
      <c r="V320" s="227"/>
      <c r="W320" s="227"/>
      <c r="X320" s="227"/>
      <c r="Y320" s="227"/>
      <c r="Z320" s="227"/>
    </row>
    <row r="321" spans="1:26" ht="12.75" customHeight="1">
      <c r="A321" s="174"/>
      <c r="B321" s="174"/>
      <c r="C321" s="174"/>
      <c r="D321" s="174"/>
      <c r="E321" s="174"/>
      <c r="F321" s="150"/>
      <c r="G321" s="174"/>
      <c r="H321" s="174"/>
      <c r="I321" s="174"/>
      <c r="J321" s="174"/>
      <c r="K321" s="174"/>
      <c r="L321" s="174"/>
      <c r="M321" s="174"/>
      <c r="N321" s="174"/>
      <c r="O321" s="227"/>
      <c r="P321" s="227"/>
      <c r="Q321" s="227"/>
      <c r="R321" s="227"/>
      <c r="S321" s="227"/>
      <c r="T321" s="227"/>
      <c r="U321" s="227"/>
      <c r="V321" s="227"/>
      <c r="W321" s="227"/>
      <c r="X321" s="227"/>
      <c r="Y321" s="227"/>
      <c r="Z321" s="227"/>
    </row>
    <row r="322" spans="1:26" ht="12.75" customHeight="1">
      <c r="A322" s="174"/>
      <c r="B322" s="174"/>
      <c r="C322" s="174"/>
      <c r="D322" s="174"/>
      <c r="E322" s="174"/>
      <c r="F322" s="150"/>
      <c r="G322" s="174"/>
      <c r="H322" s="174"/>
      <c r="I322" s="174"/>
      <c r="J322" s="174"/>
      <c r="K322" s="174"/>
      <c r="L322" s="174"/>
      <c r="M322" s="174"/>
      <c r="N322" s="174"/>
      <c r="O322" s="227"/>
      <c r="P322" s="227"/>
      <c r="Q322" s="227"/>
      <c r="R322" s="227"/>
      <c r="S322" s="227"/>
      <c r="T322" s="227"/>
      <c r="U322" s="227"/>
      <c r="V322" s="227"/>
      <c r="W322" s="227"/>
      <c r="X322" s="227"/>
      <c r="Y322" s="227"/>
      <c r="Z322" s="227"/>
    </row>
    <row r="323" spans="1:26" ht="12.75" customHeight="1">
      <c r="A323" s="174"/>
      <c r="B323" s="174"/>
      <c r="C323" s="174"/>
      <c r="D323" s="174"/>
      <c r="E323" s="174"/>
      <c r="F323" s="150"/>
      <c r="G323" s="174"/>
      <c r="H323" s="174"/>
      <c r="I323" s="174"/>
      <c r="J323" s="174"/>
      <c r="K323" s="174"/>
      <c r="L323" s="174"/>
      <c r="M323" s="174"/>
      <c r="N323" s="174"/>
      <c r="O323" s="227"/>
      <c r="P323" s="227"/>
      <c r="Q323" s="227"/>
      <c r="R323" s="227"/>
      <c r="S323" s="227"/>
      <c r="T323" s="227"/>
      <c r="U323" s="227"/>
      <c r="V323" s="227"/>
      <c r="W323" s="227"/>
      <c r="X323" s="227"/>
      <c r="Y323" s="227"/>
      <c r="Z323" s="227"/>
    </row>
    <row r="324" spans="1:26" ht="12.75" customHeight="1">
      <c r="A324" s="174"/>
      <c r="B324" s="174"/>
      <c r="C324" s="174"/>
      <c r="D324" s="174"/>
      <c r="E324" s="174"/>
      <c r="F324" s="150"/>
      <c r="G324" s="174"/>
      <c r="H324" s="174"/>
      <c r="I324" s="174"/>
      <c r="J324" s="174"/>
      <c r="K324" s="174"/>
      <c r="L324" s="174"/>
      <c r="M324" s="174"/>
      <c r="N324" s="174"/>
      <c r="O324" s="227"/>
      <c r="P324" s="227"/>
      <c r="Q324" s="227"/>
      <c r="R324" s="227"/>
      <c r="S324" s="227"/>
      <c r="T324" s="227"/>
      <c r="U324" s="227"/>
      <c r="V324" s="227"/>
      <c r="W324" s="227"/>
      <c r="X324" s="227"/>
      <c r="Y324" s="227"/>
      <c r="Z324" s="227"/>
    </row>
    <row r="325" spans="1:26" ht="12.75" customHeight="1">
      <c r="A325" s="174"/>
      <c r="B325" s="174"/>
      <c r="C325" s="174"/>
      <c r="D325" s="174"/>
      <c r="E325" s="174"/>
      <c r="F325" s="150"/>
      <c r="G325" s="174"/>
      <c r="H325" s="174"/>
      <c r="I325" s="174"/>
      <c r="J325" s="174"/>
      <c r="K325" s="174"/>
      <c r="L325" s="174"/>
      <c r="M325" s="174"/>
      <c r="N325" s="174"/>
      <c r="O325" s="227"/>
      <c r="P325" s="227"/>
      <c r="Q325" s="227"/>
      <c r="R325" s="227"/>
      <c r="S325" s="227"/>
      <c r="T325" s="227"/>
      <c r="U325" s="227"/>
      <c r="V325" s="227"/>
      <c r="W325" s="227"/>
      <c r="X325" s="227"/>
      <c r="Y325" s="227"/>
      <c r="Z325" s="227"/>
    </row>
    <row r="326" spans="1:26" ht="12.75" customHeight="1">
      <c r="A326" s="174"/>
      <c r="B326" s="174"/>
      <c r="C326" s="174"/>
      <c r="D326" s="174"/>
      <c r="E326" s="174"/>
      <c r="F326" s="150"/>
      <c r="G326" s="174"/>
      <c r="H326" s="174"/>
      <c r="I326" s="174"/>
      <c r="J326" s="174"/>
      <c r="K326" s="174"/>
      <c r="L326" s="174"/>
      <c r="M326" s="174"/>
      <c r="N326" s="174"/>
      <c r="O326" s="227"/>
      <c r="P326" s="227"/>
      <c r="Q326" s="227"/>
      <c r="R326" s="227"/>
      <c r="S326" s="227"/>
      <c r="T326" s="227"/>
      <c r="U326" s="227"/>
      <c r="V326" s="227"/>
      <c r="W326" s="227"/>
      <c r="X326" s="227"/>
      <c r="Y326" s="227"/>
      <c r="Z326" s="227"/>
    </row>
    <row r="327" spans="1:26" ht="12.75" customHeight="1">
      <c r="A327" s="174"/>
      <c r="B327" s="174"/>
      <c r="C327" s="174"/>
      <c r="D327" s="174"/>
      <c r="E327" s="174"/>
      <c r="F327" s="150"/>
      <c r="G327" s="174"/>
      <c r="H327" s="174"/>
      <c r="I327" s="174"/>
      <c r="J327" s="174"/>
      <c r="K327" s="174"/>
      <c r="L327" s="174"/>
      <c r="M327" s="174"/>
      <c r="N327" s="174"/>
      <c r="O327" s="227"/>
      <c r="P327" s="227"/>
      <c r="Q327" s="227"/>
      <c r="R327" s="227"/>
      <c r="S327" s="227"/>
      <c r="T327" s="227"/>
      <c r="U327" s="227"/>
      <c r="V327" s="227"/>
      <c r="W327" s="227"/>
      <c r="X327" s="227"/>
      <c r="Y327" s="227"/>
      <c r="Z327" s="227"/>
    </row>
    <row r="328" spans="1:26" ht="12.75" customHeight="1">
      <c r="A328" s="174"/>
      <c r="B328" s="174"/>
      <c r="C328" s="174"/>
      <c r="D328" s="174"/>
      <c r="E328" s="174"/>
      <c r="F328" s="150"/>
      <c r="G328" s="174"/>
      <c r="H328" s="174"/>
      <c r="I328" s="174"/>
      <c r="J328" s="174"/>
      <c r="K328" s="174"/>
      <c r="L328" s="174"/>
      <c r="M328" s="174"/>
      <c r="N328" s="174"/>
      <c r="O328" s="227"/>
      <c r="P328" s="227"/>
      <c r="Q328" s="227"/>
      <c r="R328" s="227"/>
      <c r="S328" s="227"/>
      <c r="T328" s="227"/>
      <c r="U328" s="227"/>
      <c r="V328" s="227"/>
      <c r="W328" s="227"/>
      <c r="X328" s="227"/>
      <c r="Y328" s="227"/>
      <c r="Z328" s="227"/>
    </row>
    <row r="329" spans="1:26" ht="12.75" customHeight="1">
      <c r="A329" s="174"/>
      <c r="B329" s="174"/>
      <c r="C329" s="174"/>
      <c r="D329" s="174"/>
      <c r="E329" s="174"/>
      <c r="F329" s="150"/>
      <c r="G329" s="174"/>
      <c r="H329" s="174"/>
      <c r="I329" s="174"/>
      <c r="J329" s="174"/>
      <c r="K329" s="174"/>
      <c r="L329" s="174"/>
      <c r="M329" s="174"/>
      <c r="N329" s="174"/>
      <c r="O329" s="227"/>
      <c r="P329" s="227"/>
      <c r="Q329" s="227"/>
      <c r="R329" s="227"/>
      <c r="S329" s="227"/>
      <c r="T329" s="227"/>
      <c r="U329" s="227"/>
      <c r="V329" s="227"/>
      <c r="W329" s="227"/>
      <c r="X329" s="227"/>
      <c r="Y329" s="227"/>
      <c r="Z329" s="227"/>
    </row>
    <row r="330" spans="1:26" ht="12.75" customHeight="1">
      <c r="A330" s="174"/>
      <c r="B330" s="174"/>
      <c r="C330" s="174"/>
      <c r="D330" s="174"/>
      <c r="E330" s="174"/>
      <c r="F330" s="150"/>
      <c r="G330" s="174"/>
      <c r="H330" s="174"/>
      <c r="I330" s="174"/>
      <c r="J330" s="174"/>
      <c r="K330" s="174"/>
      <c r="L330" s="174"/>
      <c r="M330" s="174"/>
      <c r="N330" s="174"/>
      <c r="O330" s="227"/>
      <c r="P330" s="227"/>
      <c r="Q330" s="227"/>
      <c r="R330" s="227"/>
      <c r="S330" s="227"/>
      <c r="T330" s="227"/>
      <c r="U330" s="227"/>
      <c r="V330" s="227"/>
      <c r="W330" s="227"/>
      <c r="X330" s="227"/>
      <c r="Y330" s="227"/>
      <c r="Z330" s="227"/>
    </row>
    <row r="331" spans="1:26" ht="12.75" customHeight="1">
      <c r="A331" s="174"/>
      <c r="B331" s="174"/>
      <c r="C331" s="174"/>
      <c r="D331" s="174"/>
      <c r="E331" s="174"/>
      <c r="F331" s="150"/>
      <c r="G331" s="174"/>
      <c r="H331" s="174"/>
      <c r="I331" s="174"/>
      <c r="J331" s="174"/>
      <c r="K331" s="174"/>
      <c r="L331" s="174"/>
      <c r="M331" s="174"/>
      <c r="N331" s="174"/>
      <c r="O331" s="227"/>
      <c r="P331" s="227"/>
      <c r="Q331" s="227"/>
      <c r="R331" s="227"/>
      <c r="S331" s="227"/>
      <c r="T331" s="227"/>
      <c r="U331" s="227"/>
      <c r="V331" s="227"/>
      <c r="W331" s="227"/>
      <c r="X331" s="227"/>
      <c r="Y331" s="227"/>
      <c r="Z331" s="227"/>
    </row>
    <row r="332" spans="1:26" ht="12.75" customHeight="1">
      <c r="A332" s="174"/>
      <c r="B332" s="174"/>
      <c r="C332" s="174"/>
      <c r="D332" s="174"/>
      <c r="E332" s="174"/>
      <c r="F332" s="150"/>
      <c r="G332" s="174"/>
      <c r="H332" s="174"/>
      <c r="I332" s="174"/>
      <c r="J332" s="174"/>
      <c r="K332" s="174"/>
      <c r="L332" s="174"/>
      <c r="M332" s="174"/>
      <c r="N332" s="174"/>
      <c r="O332" s="227"/>
      <c r="P332" s="227"/>
      <c r="Q332" s="227"/>
      <c r="R332" s="227"/>
      <c r="S332" s="227"/>
      <c r="T332" s="227"/>
      <c r="U332" s="227"/>
      <c r="V332" s="227"/>
      <c r="W332" s="227"/>
      <c r="X332" s="227"/>
      <c r="Y332" s="227"/>
      <c r="Z332" s="227"/>
    </row>
    <row r="333" spans="1:26" ht="12.75" customHeight="1">
      <c r="A333" s="174"/>
      <c r="B333" s="174"/>
      <c r="C333" s="174"/>
      <c r="D333" s="174"/>
      <c r="E333" s="174"/>
      <c r="F333" s="150"/>
      <c r="G333" s="174"/>
      <c r="H333" s="174"/>
      <c r="I333" s="174"/>
      <c r="J333" s="174"/>
      <c r="K333" s="174"/>
      <c r="L333" s="174"/>
      <c r="M333" s="174"/>
      <c r="N333" s="174"/>
      <c r="O333" s="227"/>
      <c r="P333" s="227"/>
      <c r="Q333" s="227"/>
      <c r="R333" s="227"/>
      <c r="S333" s="227"/>
      <c r="T333" s="227"/>
      <c r="U333" s="227"/>
      <c r="V333" s="227"/>
      <c r="W333" s="227"/>
      <c r="X333" s="227"/>
      <c r="Y333" s="227"/>
      <c r="Z333" s="227"/>
    </row>
    <row r="334" spans="1:26" ht="12.75" customHeight="1">
      <c r="A334" s="174"/>
      <c r="B334" s="174"/>
      <c r="C334" s="174"/>
      <c r="D334" s="174"/>
      <c r="E334" s="174"/>
      <c r="F334" s="150"/>
      <c r="G334" s="174"/>
      <c r="H334" s="174"/>
      <c r="I334" s="174"/>
      <c r="J334" s="174"/>
      <c r="K334" s="174"/>
      <c r="L334" s="174"/>
      <c r="M334" s="174"/>
      <c r="N334" s="174"/>
      <c r="O334" s="227"/>
      <c r="P334" s="227"/>
      <c r="Q334" s="227"/>
      <c r="R334" s="227"/>
      <c r="S334" s="227"/>
      <c r="T334" s="227"/>
      <c r="U334" s="227"/>
      <c r="V334" s="227"/>
      <c r="W334" s="227"/>
      <c r="X334" s="227"/>
      <c r="Y334" s="227"/>
      <c r="Z334" s="227"/>
    </row>
    <row r="335" spans="1:26" ht="12.75" customHeight="1">
      <c r="A335" s="174"/>
      <c r="B335" s="174"/>
      <c r="C335" s="174"/>
      <c r="D335" s="174"/>
      <c r="E335" s="174"/>
      <c r="F335" s="150"/>
      <c r="G335" s="174"/>
      <c r="H335" s="174"/>
      <c r="I335" s="174"/>
      <c r="J335" s="174"/>
      <c r="K335" s="174"/>
      <c r="L335" s="174"/>
      <c r="M335" s="174"/>
      <c r="N335" s="174"/>
      <c r="O335" s="227"/>
      <c r="P335" s="227"/>
      <c r="Q335" s="227"/>
      <c r="R335" s="227"/>
      <c r="S335" s="227"/>
      <c r="T335" s="227"/>
      <c r="U335" s="227"/>
      <c r="V335" s="227"/>
      <c r="W335" s="227"/>
      <c r="X335" s="227"/>
      <c r="Y335" s="227"/>
      <c r="Z335" s="227"/>
    </row>
    <row r="336" spans="1:26" ht="12.75" customHeight="1">
      <c r="A336" s="174"/>
      <c r="B336" s="174"/>
      <c r="C336" s="174"/>
      <c r="D336" s="174"/>
      <c r="E336" s="174"/>
      <c r="F336" s="150"/>
      <c r="G336" s="174"/>
      <c r="H336" s="174"/>
      <c r="I336" s="174"/>
      <c r="J336" s="174"/>
      <c r="K336" s="174"/>
      <c r="L336" s="174"/>
      <c r="M336" s="174"/>
      <c r="N336" s="174"/>
      <c r="O336" s="227"/>
      <c r="P336" s="227"/>
      <c r="Q336" s="227"/>
      <c r="R336" s="227"/>
      <c r="S336" s="227"/>
      <c r="T336" s="227"/>
      <c r="U336" s="227"/>
      <c r="V336" s="227"/>
      <c r="W336" s="227"/>
      <c r="X336" s="227"/>
      <c r="Y336" s="227"/>
      <c r="Z336" s="227"/>
    </row>
    <row r="337" spans="1:26" ht="12.75" customHeight="1">
      <c r="A337" s="174"/>
      <c r="B337" s="174"/>
      <c r="C337" s="174"/>
      <c r="D337" s="174"/>
      <c r="E337" s="174"/>
      <c r="F337" s="150"/>
      <c r="G337" s="174"/>
      <c r="H337" s="174"/>
      <c r="I337" s="174"/>
      <c r="J337" s="174"/>
      <c r="K337" s="174"/>
      <c r="L337" s="174"/>
      <c r="M337" s="174"/>
      <c r="N337" s="174"/>
      <c r="O337" s="227"/>
      <c r="P337" s="227"/>
      <c r="Q337" s="227"/>
      <c r="R337" s="227"/>
      <c r="S337" s="227"/>
      <c r="T337" s="227"/>
      <c r="U337" s="227"/>
      <c r="V337" s="227"/>
      <c r="W337" s="227"/>
      <c r="X337" s="227"/>
      <c r="Y337" s="227"/>
      <c r="Z337" s="227"/>
    </row>
    <row r="338" spans="1:26" ht="12.75" customHeight="1">
      <c r="A338" s="174"/>
      <c r="B338" s="174"/>
      <c r="C338" s="174"/>
      <c r="D338" s="174"/>
      <c r="E338" s="174"/>
      <c r="F338" s="150"/>
      <c r="G338" s="174"/>
      <c r="H338" s="174"/>
      <c r="I338" s="174"/>
      <c r="J338" s="174"/>
      <c r="K338" s="174"/>
      <c r="L338" s="174"/>
      <c r="M338" s="174"/>
      <c r="N338" s="174"/>
      <c r="O338" s="227"/>
      <c r="P338" s="227"/>
      <c r="Q338" s="227"/>
      <c r="R338" s="227"/>
      <c r="S338" s="227"/>
      <c r="T338" s="227"/>
      <c r="U338" s="227"/>
      <c r="V338" s="227"/>
      <c r="W338" s="227"/>
      <c r="X338" s="227"/>
      <c r="Y338" s="227"/>
      <c r="Z338" s="227"/>
    </row>
    <row r="339" spans="1:26" ht="12.75" customHeight="1">
      <c r="A339" s="174"/>
      <c r="B339" s="174"/>
      <c r="C339" s="174"/>
      <c r="D339" s="174"/>
      <c r="E339" s="174"/>
      <c r="F339" s="150"/>
      <c r="G339" s="174"/>
      <c r="H339" s="174"/>
      <c r="I339" s="174"/>
      <c r="J339" s="174"/>
      <c r="K339" s="174"/>
      <c r="L339" s="174"/>
      <c r="M339" s="174"/>
      <c r="N339" s="174"/>
      <c r="O339" s="227"/>
      <c r="P339" s="227"/>
      <c r="Q339" s="227"/>
      <c r="R339" s="227"/>
      <c r="S339" s="227"/>
      <c r="T339" s="227"/>
      <c r="U339" s="227"/>
      <c r="V339" s="227"/>
      <c r="W339" s="227"/>
      <c r="X339" s="227"/>
      <c r="Y339" s="227"/>
      <c r="Z339" s="227"/>
    </row>
    <row r="340" spans="1:26" ht="12.75" customHeight="1">
      <c r="A340" s="174"/>
      <c r="B340" s="174"/>
      <c r="C340" s="174"/>
      <c r="D340" s="174"/>
      <c r="E340" s="174"/>
      <c r="F340" s="150"/>
      <c r="G340" s="174"/>
      <c r="H340" s="174"/>
      <c r="I340" s="174"/>
      <c r="J340" s="174"/>
      <c r="K340" s="174"/>
      <c r="L340" s="174"/>
      <c r="M340" s="174"/>
      <c r="N340" s="174"/>
      <c r="O340" s="227"/>
      <c r="P340" s="227"/>
      <c r="Q340" s="227"/>
      <c r="R340" s="227"/>
      <c r="S340" s="227"/>
      <c r="T340" s="227"/>
      <c r="U340" s="227"/>
      <c r="V340" s="227"/>
      <c r="W340" s="227"/>
      <c r="X340" s="227"/>
      <c r="Y340" s="227"/>
      <c r="Z340" s="227"/>
    </row>
    <row r="341" spans="1:26" ht="12.75" customHeight="1">
      <c r="A341" s="174"/>
      <c r="B341" s="174"/>
      <c r="C341" s="174"/>
      <c r="D341" s="174"/>
      <c r="E341" s="174"/>
      <c r="F341" s="150"/>
      <c r="G341" s="174"/>
      <c r="H341" s="174"/>
      <c r="I341" s="174"/>
      <c r="J341" s="174"/>
      <c r="K341" s="174"/>
      <c r="L341" s="174"/>
      <c r="M341" s="174"/>
      <c r="N341" s="174"/>
      <c r="O341" s="227"/>
      <c r="P341" s="227"/>
      <c r="Q341" s="227"/>
      <c r="R341" s="227"/>
      <c r="S341" s="227"/>
      <c r="T341" s="227"/>
      <c r="U341" s="227"/>
      <c r="V341" s="227"/>
      <c r="W341" s="227"/>
      <c r="X341" s="227"/>
      <c r="Y341" s="227"/>
      <c r="Z341" s="227"/>
    </row>
    <row r="342" spans="1:26" ht="12.75" customHeight="1">
      <c r="A342" s="174"/>
      <c r="B342" s="174"/>
      <c r="C342" s="174"/>
      <c r="D342" s="174"/>
      <c r="E342" s="174"/>
      <c r="F342" s="150"/>
      <c r="G342" s="174"/>
      <c r="H342" s="174"/>
      <c r="I342" s="174"/>
      <c r="J342" s="174"/>
      <c r="K342" s="174"/>
      <c r="L342" s="174"/>
      <c r="M342" s="174"/>
      <c r="N342" s="174"/>
      <c r="O342" s="227"/>
      <c r="P342" s="227"/>
      <c r="Q342" s="227"/>
      <c r="R342" s="227"/>
      <c r="S342" s="227"/>
      <c r="T342" s="227"/>
      <c r="U342" s="227"/>
      <c r="V342" s="227"/>
      <c r="W342" s="227"/>
      <c r="X342" s="227"/>
      <c r="Y342" s="227"/>
      <c r="Z342" s="227"/>
    </row>
    <row r="343" spans="1:26" ht="12.75" customHeight="1">
      <c r="A343" s="174"/>
      <c r="B343" s="174"/>
      <c r="C343" s="174"/>
      <c r="D343" s="174"/>
      <c r="E343" s="174"/>
      <c r="F343" s="150"/>
      <c r="G343" s="174"/>
      <c r="H343" s="174"/>
      <c r="I343" s="174"/>
      <c r="J343" s="174"/>
      <c r="K343" s="174"/>
      <c r="L343" s="174"/>
      <c r="M343" s="174"/>
      <c r="N343" s="174"/>
      <c r="O343" s="227"/>
      <c r="P343" s="227"/>
      <c r="Q343" s="227"/>
      <c r="R343" s="227"/>
      <c r="S343" s="227"/>
      <c r="T343" s="227"/>
      <c r="U343" s="227"/>
      <c r="V343" s="227"/>
      <c r="W343" s="227"/>
      <c r="X343" s="227"/>
      <c r="Y343" s="227"/>
      <c r="Z343" s="227"/>
    </row>
    <row r="344" spans="1:26" ht="12.75" customHeight="1">
      <c r="A344" s="174"/>
      <c r="B344" s="174"/>
      <c r="C344" s="174"/>
      <c r="D344" s="174"/>
      <c r="E344" s="174"/>
      <c r="F344" s="150"/>
      <c r="G344" s="174"/>
      <c r="H344" s="174"/>
      <c r="I344" s="174"/>
      <c r="J344" s="174"/>
      <c r="K344" s="174"/>
      <c r="L344" s="174"/>
      <c r="M344" s="174"/>
      <c r="N344" s="174"/>
      <c r="O344" s="227"/>
      <c r="P344" s="227"/>
      <c r="Q344" s="227"/>
      <c r="R344" s="227"/>
      <c r="S344" s="227"/>
      <c r="T344" s="227"/>
      <c r="U344" s="227"/>
      <c r="V344" s="227"/>
      <c r="W344" s="227"/>
      <c r="X344" s="227"/>
      <c r="Y344" s="227"/>
      <c r="Z344" s="227"/>
    </row>
    <row r="345" spans="1:26" ht="12.75" customHeight="1">
      <c r="A345" s="174"/>
      <c r="B345" s="174"/>
      <c r="C345" s="174"/>
      <c r="D345" s="174"/>
      <c r="E345" s="174"/>
      <c r="F345" s="150"/>
      <c r="G345" s="174"/>
      <c r="H345" s="174"/>
      <c r="I345" s="174"/>
      <c r="J345" s="174"/>
      <c r="K345" s="174"/>
      <c r="L345" s="174"/>
      <c r="M345" s="174"/>
      <c r="N345" s="174"/>
      <c r="O345" s="227"/>
      <c r="P345" s="227"/>
      <c r="Q345" s="227"/>
      <c r="R345" s="227"/>
      <c r="S345" s="227"/>
      <c r="T345" s="227"/>
      <c r="U345" s="227"/>
      <c r="V345" s="227"/>
      <c r="W345" s="227"/>
      <c r="X345" s="227"/>
      <c r="Y345" s="227"/>
      <c r="Z345" s="227"/>
    </row>
    <row r="346" spans="1:26" ht="12.75" customHeight="1">
      <c r="A346" s="174"/>
      <c r="B346" s="174"/>
      <c r="C346" s="174"/>
      <c r="D346" s="174"/>
      <c r="E346" s="174"/>
      <c r="F346" s="150"/>
      <c r="G346" s="174"/>
      <c r="H346" s="174"/>
      <c r="I346" s="174"/>
      <c r="J346" s="174"/>
      <c r="K346" s="174"/>
      <c r="L346" s="174"/>
      <c r="M346" s="174"/>
      <c r="N346" s="174"/>
      <c r="O346" s="227"/>
      <c r="P346" s="227"/>
      <c r="Q346" s="227"/>
      <c r="R346" s="227"/>
      <c r="S346" s="227"/>
      <c r="T346" s="227"/>
      <c r="U346" s="227"/>
      <c r="V346" s="227"/>
      <c r="W346" s="227"/>
      <c r="X346" s="227"/>
      <c r="Y346" s="227"/>
      <c r="Z346" s="227"/>
    </row>
    <row r="347" spans="1:26" ht="12.75" customHeight="1">
      <c r="A347" s="174"/>
      <c r="B347" s="174"/>
      <c r="C347" s="174"/>
      <c r="D347" s="174"/>
      <c r="E347" s="174"/>
      <c r="F347" s="150"/>
      <c r="G347" s="174"/>
      <c r="H347" s="174"/>
      <c r="I347" s="174"/>
      <c r="J347" s="174"/>
      <c r="K347" s="174"/>
      <c r="L347" s="174"/>
      <c r="M347" s="174"/>
      <c r="N347" s="174"/>
      <c r="O347" s="227"/>
      <c r="P347" s="227"/>
      <c r="Q347" s="227"/>
      <c r="R347" s="227"/>
      <c r="S347" s="227"/>
      <c r="T347" s="227"/>
      <c r="U347" s="227"/>
      <c r="V347" s="227"/>
      <c r="W347" s="227"/>
      <c r="X347" s="227"/>
      <c r="Y347" s="227"/>
      <c r="Z347" s="227"/>
    </row>
    <row r="348" spans="1:26" ht="12.75" customHeight="1">
      <c r="A348" s="174"/>
      <c r="B348" s="174"/>
      <c r="C348" s="174"/>
      <c r="D348" s="174"/>
      <c r="E348" s="174"/>
      <c r="F348" s="150"/>
      <c r="G348" s="174"/>
      <c r="H348" s="174"/>
      <c r="I348" s="174"/>
      <c r="J348" s="174"/>
      <c r="K348" s="174"/>
      <c r="L348" s="174"/>
      <c r="M348" s="174"/>
      <c r="N348" s="174"/>
      <c r="O348" s="227"/>
      <c r="P348" s="227"/>
      <c r="Q348" s="227"/>
      <c r="R348" s="227"/>
      <c r="S348" s="227"/>
      <c r="T348" s="227"/>
      <c r="U348" s="227"/>
      <c r="V348" s="227"/>
      <c r="W348" s="227"/>
      <c r="X348" s="227"/>
      <c r="Y348" s="227"/>
      <c r="Z348" s="227"/>
    </row>
    <row r="349" spans="1:26" ht="12.75" customHeight="1">
      <c r="A349" s="174"/>
      <c r="B349" s="174"/>
      <c r="C349" s="174"/>
      <c r="D349" s="174"/>
      <c r="E349" s="174"/>
      <c r="F349" s="150"/>
      <c r="G349" s="174"/>
      <c r="H349" s="174"/>
      <c r="I349" s="174"/>
      <c r="J349" s="174"/>
      <c r="K349" s="174"/>
      <c r="L349" s="174"/>
      <c r="M349" s="174"/>
      <c r="N349" s="174"/>
      <c r="O349" s="227"/>
      <c r="P349" s="227"/>
      <c r="Q349" s="227"/>
      <c r="R349" s="227"/>
      <c r="S349" s="227"/>
      <c r="T349" s="227"/>
      <c r="U349" s="227"/>
      <c r="V349" s="227"/>
      <c r="W349" s="227"/>
      <c r="X349" s="227"/>
      <c r="Y349" s="227"/>
      <c r="Z349" s="227"/>
    </row>
    <row r="350" spans="1:26" ht="12.75" customHeight="1">
      <c r="A350" s="174"/>
      <c r="B350" s="174"/>
      <c r="C350" s="174"/>
      <c r="D350" s="174"/>
      <c r="E350" s="174"/>
      <c r="F350" s="150"/>
      <c r="G350" s="174"/>
      <c r="H350" s="174"/>
      <c r="I350" s="174"/>
      <c r="J350" s="174"/>
      <c r="K350" s="174"/>
      <c r="L350" s="174"/>
      <c r="M350" s="174"/>
      <c r="N350" s="174"/>
      <c r="O350" s="227"/>
      <c r="P350" s="227"/>
      <c r="Q350" s="227"/>
      <c r="R350" s="227"/>
      <c r="S350" s="227"/>
      <c r="T350" s="227"/>
      <c r="U350" s="227"/>
      <c r="V350" s="227"/>
      <c r="W350" s="227"/>
      <c r="X350" s="227"/>
      <c r="Y350" s="227"/>
      <c r="Z350" s="227"/>
    </row>
    <row r="351" spans="1:26" ht="12.75" customHeight="1">
      <c r="A351" s="174"/>
      <c r="B351" s="174"/>
      <c r="C351" s="174"/>
      <c r="D351" s="174"/>
      <c r="E351" s="174"/>
      <c r="F351" s="150"/>
      <c r="G351" s="174"/>
      <c r="H351" s="174"/>
      <c r="I351" s="174"/>
      <c r="J351" s="174"/>
      <c r="K351" s="174"/>
      <c r="L351" s="174"/>
      <c r="M351" s="174"/>
      <c r="N351" s="174"/>
      <c r="O351" s="227"/>
      <c r="P351" s="227"/>
      <c r="Q351" s="227"/>
      <c r="R351" s="227"/>
      <c r="S351" s="227"/>
      <c r="T351" s="227"/>
      <c r="U351" s="227"/>
      <c r="V351" s="227"/>
      <c r="W351" s="227"/>
      <c r="X351" s="227"/>
      <c r="Y351" s="227"/>
      <c r="Z351" s="227"/>
    </row>
    <row r="352" spans="1:26" ht="12.75" customHeight="1">
      <c r="A352" s="174"/>
      <c r="B352" s="174"/>
      <c r="C352" s="174"/>
      <c r="D352" s="174"/>
      <c r="E352" s="174"/>
      <c r="F352" s="150"/>
      <c r="G352" s="174"/>
      <c r="H352" s="174"/>
      <c r="I352" s="174"/>
      <c r="J352" s="174"/>
      <c r="K352" s="174"/>
      <c r="L352" s="174"/>
      <c r="M352" s="174"/>
      <c r="N352" s="174"/>
      <c r="O352" s="227"/>
      <c r="P352" s="227"/>
      <c r="Q352" s="227"/>
      <c r="R352" s="227"/>
      <c r="S352" s="227"/>
      <c r="T352" s="227"/>
      <c r="U352" s="227"/>
      <c r="V352" s="227"/>
      <c r="W352" s="227"/>
      <c r="X352" s="227"/>
      <c r="Y352" s="227"/>
      <c r="Z352" s="227"/>
    </row>
    <row r="353" spans="1:26" ht="12.75" customHeight="1">
      <c r="A353" s="174"/>
      <c r="B353" s="174"/>
      <c r="C353" s="174"/>
      <c r="D353" s="174"/>
      <c r="E353" s="174"/>
      <c r="F353" s="150"/>
      <c r="G353" s="174"/>
      <c r="H353" s="174"/>
      <c r="I353" s="174"/>
      <c r="J353" s="174"/>
      <c r="K353" s="174"/>
      <c r="L353" s="174"/>
      <c r="M353" s="174"/>
      <c r="N353" s="174"/>
      <c r="O353" s="227"/>
      <c r="P353" s="227"/>
      <c r="Q353" s="227"/>
      <c r="R353" s="227"/>
      <c r="S353" s="227"/>
      <c r="T353" s="227"/>
      <c r="U353" s="227"/>
      <c r="V353" s="227"/>
      <c r="W353" s="227"/>
      <c r="X353" s="227"/>
      <c r="Y353" s="227"/>
      <c r="Z353" s="227"/>
    </row>
    <row r="354" spans="1:26" ht="12.75" customHeight="1">
      <c r="A354" s="174"/>
      <c r="B354" s="174"/>
      <c r="C354" s="174"/>
      <c r="D354" s="174"/>
      <c r="E354" s="174"/>
      <c r="F354" s="150"/>
      <c r="G354" s="174"/>
      <c r="H354" s="174"/>
      <c r="I354" s="174"/>
      <c r="J354" s="174"/>
      <c r="K354" s="174"/>
      <c r="L354" s="174"/>
      <c r="M354" s="174"/>
      <c r="N354" s="174"/>
      <c r="O354" s="227"/>
      <c r="P354" s="227"/>
      <c r="Q354" s="227"/>
      <c r="R354" s="227"/>
      <c r="S354" s="227"/>
      <c r="T354" s="227"/>
      <c r="U354" s="227"/>
      <c r="V354" s="227"/>
      <c r="W354" s="227"/>
      <c r="X354" s="227"/>
      <c r="Y354" s="227"/>
      <c r="Z354" s="227"/>
    </row>
    <row r="355" spans="1:26" ht="12.75" customHeight="1">
      <c r="A355" s="174"/>
      <c r="B355" s="174"/>
      <c r="C355" s="174"/>
      <c r="D355" s="174"/>
      <c r="E355" s="174"/>
      <c r="F355" s="150"/>
      <c r="G355" s="174"/>
      <c r="H355" s="174"/>
      <c r="I355" s="174"/>
      <c r="J355" s="174"/>
      <c r="K355" s="174"/>
      <c r="L355" s="174"/>
      <c r="M355" s="174"/>
      <c r="N355" s="174"/>
      <c r="O355" s="227"/>
      <c r="P355" s="227"/>
      <c r="Q355" s="227"/>
      <c r="R355" s="227"/>
      <c r="S355" s="227"/>
      <c r="T355" s="227"/>
      <c r="U355" s="227"/>
      <c r="V355" s="227"/>
      <c r="W355" s="227"/>
      <c r="X355" s="227"/>
      <c r="Y355" s="227"/>
      <c r="Z355" s="227"/>
    </row>
    <row r="356" spans="1:26" ht="12.75" customHeight="1">
      <c r="A356" s="174"/>
      <c r="B356" s="174"/>
      <c r="C356" s="174"/>
      <c r="D356" s="174"/>
      <c r="E356" s="174"/>
      <c r="F356" s="150"/>
      <c r="G356" s="174"/>
      <c r="H356" s="174"/>
      <c r="I356" s="174"/>
      <c r="J356" s="174"/>
      <c r="K356" s="174"/>
      <c r="L356" s="174"/>
      <c r="M356" s="174"/>
      <c r="N356" s="174"/>
      <c r="O356" s="227"/>
      <c r="P356" s="227"/>
      <c r="Q356" s="227"/>
      <c r="R356" s="227"/>
      <c r="S356" s="227"/>
      <c r="T356" s="227"/>
      <c r="U356" s="227"/>
      <c r="V356" s="227"/>
      <c r="W356" s="227"/>
      <c r="X356" s="227"/>
      <c r="Y356" s="227"/>
      <c r="Z356" s="227"/>
    </row>
    <row r="357" spans="1:26" ht="12.75" customHeight="1">
      <c r="A357" s="174"/>
      <c r="B357" s="174"/>
      <c r="C357" s="174"/>
      <c r="D357" s="174"/>
      <c r="E357" s="174"/>
      <c r="F357" s="150"/>
      <c r="G357" s="174"/>
      <c r="H357" s="174"/>
      <c r="I357" s="174"/>
      <c r="J357" s="174"/>
      <c r="K357" s="174"/>
      <c r="L357" s="174"/>
      <c r="M357" s="174"/>
      <c r="N357" s="174"/>
      <c r="O357" s="227"/>
      <c r="P357" s="227"/>
      <c r="Q357" s="227"/>
      <c r="R357" s="227"/>
      <c r="S357" s="227"/>
      <c r="T357" s="227"/>
      <c r="U357" s="227"/>
      <c r="V357" s="227"/>
      <c r="W357" s="227"/>
      <c r="X357" s="227"/>
      <c r="Y357" s="227"/>
      <c r="Z357" s="227"/>
    </row>
    <row r="358" spans="1:26" ht="12.75" customHeight="1">
      <c r="A358" s="174"/>
      <c r="B358" s="174"/>
      <c r="C358" s="174"/>
      <c r="D358" s="174"/>
      <c r="E358" s="174"/>
      <c r="F358" s="150"/>
      <c r="G358" s="174"/>
      <c r="H358" s="174"/>
      <c r="I358" s="174"/>
      <c r="J358" s="174"/>
      <c r="K358" s="174"/>
      <c r="L358" s="174"/>
      <c r="M358" s="174"/>
      <c r="N358" s="174"/>
      <c r="O358" s="227"/>
      <c r="P358" s="227"/>
      <c r="Q358" s="227"/>
      <c r="R358" s="227"/>
      <c r="S358" s="227"/>
      <c r="T358" s="227"/>
      <c r="U358" s="227"/>
      <c r="V358" s="227"/>
      <c r="W358" s="227"/>
      <c r="X358" s="227"/>
      <c r="Y358" s="227"/>
      <c r="Z358" s="227"/>
    </row>
    <row r="359" spans="1:26" ht="12.75" customHeight="1">
      <c r="A359" s="174"/>
      <c r="B359" s="174"/>
      <c r="C359" s="174"/>
      <c r="D359" s="174"/>
      <c r="E359" s="174"/>
      <c r="F359" s="150"/>
      <c r="G359" s="174"/>
      <c r="H359" s="174"/>
      <c r="I359" s="174"/>
      <c r="J359" s="174"/>
      <c r="K359" s="174"/>
      <c r="L359" s="174"/>
      <c r="M359" s="174"/>
      <c r="N359" s="174"/>
      <c r="O359" s="227"/>
      <c r="P359" s="227"/>
      <c r="Q359" s="227"/>
      <c r="R359" s="227"/>
      <c r="S359" s="227"/>
      <c r="T359" s="227"/>
      <c r="U359" s="227"/>
      <c r="V359" s="227"/>
      <c r="W359" s="227"/>
      <c r="X359" s="227"/>
      <c r="Y359" s="227"/>
      <c r="Z359" s="227"/>
    </row>
    <row r="360" spans="1:26" ht="12.75" customHeight="1">
      <c r="A360" s="174"/>
      <c r="B360" s="174"/>
      <c r="C360" s="174"/>
      <c r="D360" s="174"/>
      <c r="E360" s="174"/>
      <c r="F360" s="150"/>
      <c r="G360" s="174"/>
      <c r="H360" s="174"/>
      <c r="I360" s="174"/>
      <c r="J360" s="174"/>
      <c r="K360" s="174"/>
      <c r="L360" s="174"/>
      <c r="M360" s="174"/>
      <c r="N360" s="174"/>
      <c r="O360" s="227"/>
      <c r="P360" s="227"/>
      <c r="Q360" s="227"/>
      <c r="R360" s="227"/>
      <c r="S360" s="227"/>
      <c r="T360" s="227"/>
      <c r="U360" s="227"/>
      <c r="V360" s="227"/>
      <c r="W360" s="227"/>
      <c r="X360" s="227"/>
      <c r="Y360" s="227"/>
      <c r="Z360" s="227"/>
    </row>
    <row r="361" spans="1:26" ht="12.75" customHeight="1">
      <c r="A361" s="174"/>
      <c r="B361" s="174"/>
      <c r="C361" s="174"/>
      <c r="D361" s="174"/>
      <c r="E361" s="174"/>
      <c r="F361" s="150"/>
      <c r="G361" s="174"/>
      <c r="H361" s="174"/>
      <c r="I361" s="174"/>
      <c r="J361" s="174"/>
      <c r="K361" s="174"/>
      <c r="L361" s="174"/>
      <c r="M361" s="174"/>
      <c r="N361" s="174"/>
      <c r="O361" s="227"/>
      <c r="P361" s="227"/>
      <c r="Q361" s="227"/>
      <c r="R361" s="227"/>
      <c r="S361" s="227"/>
      <c r="T361" s="227"/>
      <c r="U361" s="227"/>
      <c r="V361" s="227"/>
      <c r="W361" s="227"/>
      <c r="X361" s="227"/>
      <c r="Y361" s="227"/>
      <c r="Z361" s="227"/>
    </row>
    <row r="362" spans="1:26" ht="12.75" customHeight="1">
      <c r="A362" s="174"/>
      <c r="B362" s="174"/>
      <c r="C362" s="174"/>
      <c r="D362" s="174"/>
      <c r="E362" s="174"/>
      <c r="F362" s="150"/>
      <c r="G362" s="174"/>
      <c r="H362" s="174"/>
      <c r="I362" s="174"/>
      <c r="J362" s="174"/>
      <c r="K362" s="174"/>
      <c r="L362" s="174"/>
      <c r="M362" s="174"/>
      <c r="N362" s="174"/>
      <c r="O362" s="227"/>
      <c r="P362" s="227"/>
      <c r="Q362" s="227"/>
      <c r="R362" s="227"/>
      <c r="S362" s="227"/>
      <c r="T362" s="227"/>
      <c r="U362" s="227"/>
      <c r="V362" s="227"/>
      <c r="W362" s="227"/>
      <c r="X362" s="227"/>
      <c r="Y362" s="227"/>
      <c r="Z362" s="227"/>
    </row>
    <row r="363" spans="1:26" ht="12.75" customHeight="1">
      <c r="A363" s="174"/>
      <c r="B363" s="174"/>
      <c r="C363" s="174"/>
      <c r="D363" s="174"/>
      <c r="E363" s="174"/>
      <c r="F363" s="150"/>
      <c r="G363" s="174"/>
      <c r="H363" s="174"/>
      <c r="I363" s="174"/>
      <c r="J363" s="174"/>
      <c r="K363" s="174"/>
      <c r="L363" s="174"/>
      <c r="M363" s="174"/>
      <c r="N363" s="174"/>
      <c r="O363" s="227"/>
      <c r="P363" s="227"/>
      <c r="Q363" s="227"/>
      <c r="R363" s="227"/>
      <c r="S363" s="227"/>
      <c r="T363" s="227"/>
      <c r="U363" s="227"/>
      <c r="V363" s="227"/>
      <c r="W363" s="227"/>
      <c r="X363" s="227"/>
      <c r="Y363" s="227"/>
      <c r="Z363" s="227"/>
    </row>
    <row r="364" spans="1:26" ht="12.75" customHeight="1">
      <c r="A364" s="174"/>
      <c r="B364" s="174"/>
      <c r="C364" s="174"/>
      <c r="D364" s="174"/>
      <c r="E364" s="174"/>
      <c r="F364" s="150"/>
      <c r="G364" s="174"/>
      <c r="H364" s="174"/>
      <c r="I364" s="174"/>
      <c r="J364" s="174"/>
      <c r="K364" s="174"/>
      <c r="L364" s="174"/>
      <c r="M364" s="174"/>
      <c r="N364" s="174"/>
      <c r="O364" s="227"/>
      <c r="P364" s="227"/>
      <c r="Q364" s="227"/>
      <c r="R364" s="227"/>
      <c r="S364" s="227"/>
      <c r="T364" s="227"/>
      <c r="U364" s="227"/>
      <c r="V364" s="227"/>
      <c r="W364" s="227"/>
      <c r="X364" s="227"/>
      <c r="Y364" s="227"/>
      <c r="Z364" s="227"/>
    </row>
    <row r="365" spans="1:26" ht="12.75" customHeight="1">
      <c r="A365" s="174"/>
      <c r="B365" s="174"/>
      <c r="C365" s="174"/>
      <c r="D365" s="174"/>
      <c r="E365" s="174"/>
      <c r="F365" s="150"/>
      <c r="G365" s="174"/>
      <c r="H365" s="174"/>
      <c r="I365" s="174"/>
      <c r="J365" s="174"/>
      <c r="K365" s="174"/>
      <c r="L365" s="174"/>
      <c r="M365" s="174"/>
      <c r="N365" s="174"/>
      <c r="O365" s="227"/>
      <c r="P365" s="227"/>
      <c r="Q365" s="227"/>
      <c r="R365" s="227"/>
      <c r="S365" s="227"/>
      <c r="T365" s="227"/>
      <c r="U365" s="227"/>
      <c r="V365" s="227"/>
      <c r="W365" s="227"/>
      <c r="X365" s="227"/>
      <c r="Y365" s="227"/>
      <c r="Z365" s="227"/>
    </row>
    <row r="366" spans="1:26" ht="12.75" customHeight="1">
      <c r="A366" s="174"/>
      <c r="B366" s="174"/>
      <c r="C366" s="174"/>
      <c r="D366" s="174"/>
      <c r="E366" s="174"/>
      <c r="F366" s="150"/>
      <c r="G366" s="174"/>
      <c r="H366" s="174"/>
      <c r="I366" s="174"/>
      <c r="J366" s="174"/>
      <c r="K366" s="174"/>
      <c r="L366" s="174"/>
      <c r="M366" s="174"/>
      <c r="N366" s="174"/>
      <c r="O366" s="227"/>
      <c r="P366" s="227"/>
      <c r="Q366" s="227"/>
      <c r="R366" s="227"/>
      <c r="S366" s="227"/>
      <c r="T366" s="227"/>
      <c r="U366" s="227"/>
      <c r="V366" s="227"/>
      <c r="W366" s="227"/>
      <c r="X366" s="227"/>
      <c r="Y366" s="227"/>
      <c r="Z366" s="227"/>
    </row>
    <row r="367" spans="1:26" ht="12.75" customHeight="1">
      <c r="A367" s="174"/>
      <c r="B367" s="174"/>
      <c r="C367" s="174"/>
      <c r="D367" s="174"/>
      <c r="E367" s="174"/>
      <c r="F367" s="150"/>
      <c r="G367" s="174"/>
      <c r="H367" s="174"/>
      <c r="I367" s="174"/>
      <c r="J367" s="174"/>
      <c r="K367" s="174"/>
      <c r="L367" s="174"/>
      <c r="M367" s="174"/>
      <c r="N367" s="174"/>
      <c r="O367" s="227"/>
      <c r="P367" s="227"/>
      <c r="Q367" s="227"/>
      <c r="R367" s="227"/>
      <c r="S367" s="227"/>
      <c r="T367" s="227"/>
      <c r="U367" s="227"/>
      <c r="V367" s="227"/>
      <c r="W367" s="227"/>
      <c r="X367" s="227"/>
      <c r="Y367" s="227"/>
      <c r="Z367" s="227"/>
    </row>
    <row r="368" spans="1:26" ht="12.75" customHeight="1">
      <c r="A368" s="174"/>
      <c r="B368" s="174"/>
      <c r="C368" s="174"/>
      <c r="D368" s="174"/>
      <c r="E368" s="174"/>
      <c r="F368" s="150"/>
      <c r="G368" s="174"/>
      <c r="H368" s="174"/>
      <c r="I368" s="174"/>
      <c r="J368" s="174"/>
      <c r="K368" s="174"/>
      <c r="L368" s="174"/>
      <c r="M368" s="174"/>
      <c r="N368" s="174"/>
      <c r="O368" s="227"/>
      <c r="P368" s="227"/>
      <c r="Q368" s="227"/>
      <c r="R368" s="227"/>
      <c r="S368" s="227"/>
      <c r="T368" s="227"/>
      <c r="U368" s="227"/>
      <c r="V368" s="227"/>
      <c r="W368" s="227"/>
      <c r="X368" s="227"/>
      <c r="Y368" s="227"/>
      <c r="Z368" s="227"/>
    </row>
    <row r="369" spans="1:26" ht="12.75" customHeight="1">
      <c r="A369" s="174"/>
      <c r="B369" s="174"/>
      <c r="C369" s="174"/>
      <c r="D369" s="174"/>
      <c r="E369" s="174"/>
      <c r="F369" s="150"/>
      <c r="G369" s="174"/>
      <c r="H369" s="174"/>
      <c r="I369" s="174"/>
      <c r="J369" s="174"/>
      <c r="K369" s="174"/>
      <c r="L369" s="174"/>
      <c r="M369" s="174"/>
      <c r="N369" s="174"/>
      <c r="O369" s="227"/>
      <c r="P369" s="227"/>
      <c r="Q369" s="227"/>
      <c r="R369" s="227"/>
      <c r="S369" s="227"/>
      <c r="T369" s="227"/>
      <c r="U369" s="227"/>
      <c r="V369" s="227"/>
      <c r="W369" s="227"/>
      <c r="X369" s="227"/>
      <c r="Y369" s="227"/>
      <c r="Z369" s="227"/>
    </row>
    <row r="370" spans="1:26" ht="12.75" customHeight="1">
      <c r="A370" s="174"/>
      <c r="B370" s="174"/>
      <c r="C370" s="174"/>
      <c r="D370" s="174"/>
      <c r="E370" s="174"/>
      <c r="F370" s="150"/>
      <c r="G370" s="174"/>
      <c r="H370" s="174"/>
      <c r="I370" s="174"/>
      <c r="J370" s="174"/>
      <c r="K370" s="174"/>
      <c r="L370" s="174"/>
      <c r="M370" s="174"/>
      <c r="N370" s="174"/>
      <c r="O370" s="227"/>
      <c r="P370" s="227"/>
      <c r="Q370" s="227"/>
      <c r="R370" s="227"/>
      <c r="S370" s="227"/>
      <c r="T370" s="227"/>
      <c r="U370" s="227"/>
      <c r="V370" s="227"/>
      <c r="W370" s="227"/>
      <c r="X370" s="227"/>
      <c r="Y370" s="227"/>
      <c r="Z370" s="227"/>
    </row>
    <row r="371" spans="1:26" ht="12.75" customHeight="1">
      <c r="A371" s="174"/>
      <c r="B371" s="174"/>
      <c r="C371" s="174"/>
      <c r="D371" s="174"/>
      <c r="E371" s="174"/>
      <c r="F371" s="150"/>
      <c r="G371" s="174"/>
      <c r="H371" s="174"/>
      <c r="I371" s="174"/>
      <c r="J371" s="174"/>
      <c r="K371" s="174"/>
      <c r="L371" s="174"/>
      <c r="M371" s="174"/>
      <c r="N371" s="174"/>
      <c r="O371" s="227"/>
      <c r="P371" s="227"/>
      <c r="Q371" s="227"/>
      <c r="R371" s="227"/>
      <c r="S371" s="227"/>
      <c r="T371" s="227"/>
      <c r="U371" s="227"/>
      <c r="V371" s="227"/>
      <c r="W371" s="227"/>
      <c r="X371" s="227"/>
      <c r="Y371" s="227"/>
      <c r="Z371" s="227"/>
    </row>
    <row r="372" spans="1:26" ht="12.75" customHeight="1">
      <c r="A372" s="174"/>
      <c r="B372" s="174"/>
      <c r="C372" s="174"/>
      <c r="D372" s="174"/>
      <c r="E372" s="174"/>
      <c r="F372" s="150"/>
      <c r="G372" s="174"/>
      <c r="H372" s="174"/>
      <c r="I372" s="174"/>
      <c r="J372" s="174"/>
      <c r="K372" s="174"/>
      <c r="L372" s="174"/>
      <c r="M372" s="174"/>
      <c r="N372" s="174"/>
      <c r="O372" s="227"/>
      <c r="P372" s="227"/>
      <c r="Q372" s="227"/>
      <c r="R372" s="227"/>
      <c r="S372" s="227"/>
      <c r="T372" s="227"/>
      <c r="U372" s="227"/>
      <c r="V372" s="227"/>
      <c r="W372" s="227"/>
      <c r="X372" s="227"/>
      <c r="Y372" s="227"/>
      <c r="Z372" s="227"/>
    </row>
    <row r="373" spans="1:26" ht="12.75" customHeight="1">
      <c r="A373" s="174"/>
      <c r="B373" s="174"/>
      <c r="C373" s="174"/>
      <c r="D373" s="174"/>
      <c r="E373" s="174"/>
      <c r="F373" s="150"/>
      <c r="G373" s="174"/>
      <c r="H373" s="174"/>
      <c r="I373" s="174"/>
      <c r="J373" s="174"/>
      <c r="K373" s="174"/>
      <c r="L373" s="174"/>
      <c r="M373" s="174"/>
      <c r="N373" s="174"/>
      <c r="O373" s="227"/>
      <c r="P373" s="227"/>
      <c r="Q373" s="227"/>
      <c r="R373" s="227"/>
      <c r="S373" s="227"/>
      <c r="T373" s="227"/>
      <c r="U373" s="227"/>
      <c r="V373" s="227"/>
      <c r="W373" s="227"/>
      <c r="X373" s="227"/>
      <c r="Y373" s="227"/>
      <c r="Z373" s="227"/>
    </row>
    <row r="374" spans="1:26" ht="12.75" customHeight="1">
      <c r="A374" s="174"/>
      <c r="B374" s="174"/>
      <c r="C374" s="174"/>
      <c r="D374" s="174"/>
      <c r="E374" s="174"/>
      <c r="F374" s="150"/>
      <c r="G374" s="174"/>
      <c r="H374" s="174"/>
      <c r="I374" s="174"/>
      <c r="J374" s="174"/>
      <c r="K374" s="174"/>
      <c r="L374" s="174"/>
      <c r="M374" s="174"/>
      <c r="N374" s="174"/>
      <c r="O374" s="227"/>
      <c r="P374" s="227"/>
      <c r="Q374" s="227"/>
      <c r="R374" s="227"/>
      <c r="S374" s="227"/>
      <c r="T374" s="227"/>
      <c r="U374" s="227"/>
      <c r="V374" s="227"/>
      <c r="W374" s="227"/>
      <c r="X374" s="227"/>
      <c r="Y374" s="227"/>
      <c r="Z374" s="227"/>
    </row>
    <row r="375" spans="1:26" ht="12.75" customHeight="1">
      <c r="A375" s="174"/>
      <c r="B375" s="174"/>
      <c r="C375" s="174"/>
      <c r="D375" s="174"/>
      <c r="E375" s="174"/>
      <c r="F375" s="150"/>
      <c r="G375" s="174"/>
      <c r="H375" s="174"/>
      <c r="I375" s="174"/>
      <c r="J375" s="174"/>
      <c r="K375" s="174"/>
      <c r="L375" s="174"/>
      <c r="M375" s="174"/>
      <c r="N375" s="174"/>
      <c r="O375" s="227"/>
      <c r="P375" s="227"/>
      <c r="Q375" s="227"/>
      <c r="R375" s="227"/>
      <c r="S375" s="227"/>
      <c r="T375" s="227"/>
      <c r="U375" s="227"/>
      <c r="V375" s="227"/>
      <c r="W375" s="227"/>
      <c r="X375" s="227"/>
      <c r="Y375" s="227"/>
      <c r="Z375" s="227"/>
    </row>
    <row r="376" spans="1:26" ht="12.75" customHeight="1">
      <c r="A376" s="174"/>
      <c r="B376" s="174"/>
      <c r="C376" s="174"/>
      <c r="D376" s="174"/>
      <c r="E376" s="174"/>
      <c r="F376" s="150"/>
      <c r="G376" s="174"/>
      <c r="H376" s="174"/>
      <c r="I376" s="174"/>
      <c r="J376" s="174"/>
      <c r="K376" s="174"/>
      <c r="L376" s="174"/>
      <c r="M376" s="174"/>
      <c r="N376" s="174"/>
      <c r="O376" s="227"/>
      <c r="P376" s="227"/>
      <c r="Q376" s="227"/>
      <c r="R376" s="227"/>
      <c r="S376" s="227"/>
      <c r="T376" s="227"/>
      <c r="U376" s="227"/>
      <c r="V376" s="227"/>
      <c r="W376" s="227"/>
      <c r="X376" s="227"/>
      <c r="Y376" s="227"/>
      <c r="Z376" s="227"/>
    </row>
    <row r="377" spans="1:26" ht="12.75" customHeight="1">
      <c r="A377" s="174"/>
      <c r="B377" s="174"/>
      <c r="C377" s="174"/>
      <c r="D377" s="174"/>
      <c r="E377" s="174"/>
      <c r="F377" s="150"/>
      <c r="G377" s="174"/>
      <c r="H377" s="174"/>
      <c r="I377" s="174"/>
      <c r="J377" s="174"/>
      <c r="K377" s="174"/>
      <c r="L377" s="174"/>
      <c r="M377" s="174"/>
      <c r="N377" s="174"/>
      <c r="O377" s="227"/>
      <c r="P377" s="227"/>
      <c r="Q377" s="227"/>
      <c r="R377" s="227"/>
      <c r="S377" s="227"/>
      <c r="T377" s="227"/>
      <c r="U377" s="227"/>
      <c r="V377" s="227"/>
      <c r="W377" s="227"/>
      <c r="X377" s="227"/>
      <c r="Y377" s="227"/>
      <c r="Z377" s="227"/>
    </row>
    <row r="378" spans="1:26" ht="12.75" customHeight="1">
      <c r="A378" s="174"/>
      <c r="B378" s="174"/>
      <c r="C378" s="174"/>
      <c r="D378" s="174"/>
      <c r="E378" s="174"/>
      <c r="F378" s="150"/>
      <c r="G378" s="174"/>
      <c r="H378" s="174"/>
      <c r="I378" s="174"/>
      <c r="J378" s="174"/>
      <c r="K378" s="174"/>
      <c r="L378" s="174"/>
      <c r="M378" s="174"/>
      <c r="N378" s="174"/>
      <c r="O378" s="227"/>
      <c r="P378" s="227"/>
      <c r="Q378" s="227"/>
      <c r="R378" s="227"/>
      <c r="S378" s="227"/>
      <c r="T378" s="227"/>
      <c r="U378" s="227"/>
      <c r="V378" s="227"/>
      <c r="W378" s="227"/>
      <c r="X378" s="227"/>
      <c r="Y378" s="227"/>
      <c r="Z378" s="227"/>
    </row>
    <row r="379" spans="1:26" ht="12.75" customHeight="1">
      <c r="A379" s="174"/>
      <c r="B379" s="174"/>
      <c r="C379" s="174"/>
      <c r="D379" s="174"/>
      <c r="E379" s="174"/>
      <c r="F379" s="150"/>
      <c r="G379" s="174"/>
      <c r="H379" s="174"/>
      <c r="I379" s="174"/>
      <c r="J379" s="174"/>
      <c r="K379" s="174"/>
      <c r="L379" s="174"/>
      <c r="M379" s="174"/>
      <c r="N379" s="174"/>
      <c r="O379" s="227"/>
      <c r="P379" s="227"/>
      <c r="Q379" s="227"/>
      <c r="R379" s="227"/>
      <c r="S379" s="227"/>
      <c r="T379" s="227"/>
      <c r="U379" s="227"/>
      <c r="V379" s="227"/>
      <c r="W379" s="227"/>
      <c r="X379" s="227"/>
      <c r="Y379" s="227"/>
      <c r="Z379" s="227"/>
    </row>
    <row r="380" spans="1:26" ht="12.75" customHeight="1">
      <c r="A380" s="174"/>
      <c r="B380" s="174"/>
      <c r="C380" s="174"/>
      <c r="D380" s="174"/>
      <c r="E380" s="174"/>
      <c r="F380" s="150"/>
      <c r="G380" s="174"/>
      <c r="H380" s="174"/>
      <c r="I380" s="174"/>
      <c r="J380" s="174"/>
      <c r="K380" s="174"/>
      <c r="L380" s="174"/>
      <c r="M380" s="174"/>
      <c r="N380" s="174"/>
      <c r="O380" s="227"/>
      <c r="P380" s="227"/>
      <c r="Q380" s="227"/>
      <c r="R380" s="227"/>
      <c r="S380" s="227"/>
      <c r="T380" s="227"/>
      <c r="U380" s="227"/>
      <c r="V380" s="227"/>
      <c r="W380" s="227"/>
      <c r="X380" s="227"/>
      <c r="Y380" s="227"/>
      <c r="Z380" s="227"/>
    </row>
    <row r="381" spans="1:26" ht="12.75" customHeight="1">
      <c r="A381" s="174"/>
      <c r="B381" s="174"/>
      <c r="C381" s="174"/>
      <c r="D381" s="174"/>
      <c r="E381" s="174"/>
      <c r="F381" s="150"/>
      <c r="G381" s="174"/>
      <c r="H381" s="174"/>
      <c r="I381" s="174"/>
      <c r="J381" s="174"/>
      <c r="K381" s="174"/>
      <c r="L381" s="174"/>
      <c r="M381" s="174"/>
      <c r="N381" s="174"/>
      <c r="O381" s="227"/>
      <c r="P381" s="227"/>
      <c r="Q381" s="227"/>
      <c r="R381" s="227"/>
      <c r="S381" s="227"/>
      <c r="T381" s="227"/>
      <c r="U381" s="227"/>
      <c r="V381" s="227"/>
      <c r="W381" s="227"/>
      <c r="X381" s="227"/>
      <c r="Y381" s="227"/>
      <c r="Z381" s="227"/>
    </row>
    <row r="382" spans="1:26" ht="12.75" customHeight="1">
      <c r="A382" s="174"/>
      <c r="B382" s="174"/>
      <c r="C382" s="174"/>
      <c r="D382" s="174"/>
      <c r="E382" s="174"/>
      <c r="F382" s="150"/>
      <c r="G382" s="174"/>
      <c r="H382" s="174"/>
      <c r="I382" s="174"/>
      <c r="J382" s="174"/>
      <c r="K382" s="174"/>
      <c r="L382" s="174"/>
      <c r="M382" s="174"/>
      <c r="N382" s="174"/>
      <c r="O382" s="227"/>
      <c r="P382" s="227"/>
      <c r="Q382" s="227"/>
      <c r="R382" s="227"/>
      <c r="S382" s="227"/>
      <c r="T382" s="227"/>
      <c r="U382" s="227"/>
      <c r="V382" s="227"/>
      <c r="W382" s="227"/>
      <c r="X382" s="227"/>
      <c r="Y382" s="227"/>
      <c r="Z382" s="227"/>
    </row>
    <row r="383" spans="1:26" ht="12.75" customHeight="1">
      <c r="A383" s="174"/>
      <c r="B383" s="174"/>
      <c r="C383" s="174"/>
      <c r="D383" s="174"/>
      <c r="E383" s="174"/>
      <c r="F383" s="150"/>
      <c r="G383" s="174"/>
      <c r="H383" s="174"/>
      <c r="I383" s="174"/>
      <c r="J383" s="174"/>
      <c r="K383" s="174"/>
      <c r="L383" s="174"/>
      <c r="M383" s="174"/>
      <c r="N383" s="174"/>
      <c r="O383" s="227"/>
      <c r="P383" s="227"/>
      <c r="Q383" s="227"/>
      <c r="R383" s="227"/>
      <c r="S383" s="227"/>
      <c r="T383" s="227"/>
      <c r="U383" s="227"/>
      <c r="V383" s="227"/>
      <c r="W383" s="227"/>
      <c r="X383" s="227"/>
      <c r="Y383" s="227"/>
      <c r="Z383" s="227"/>
    </row>
    <row r="384" spans="1:26" ht="12.75" customHeight="1">
      <c r="A384" s="174"/>
      <c r="B384" s="174"/>
      <c r="C384" s="174"/>
      <c r="D384" s="174"/>
      <c r="E384" s="174"/>
      <c r="F384" s="150"/>
      <c r="G384" s="174"/>
      <c r="H384" s="174"/>
      <c r="I384" s="174"/>
      <c r="J384" s="174"/>
      <c r="K384" s="174"/>
      <c r="L384" s="174"/>
      <c r="M384" s="174"/>
      <c r="N384" s="174"/>
      <c r="O384" s="227"/>
      <c r="P384" s="227"/>
      <c r="Q384" s="227"/>
      <c r="R384" s="227"/>
      <c r="S384" s="227"/>
      <c r="T384" s="227"/>
      <c r="U384" s="227"/>
      <c r="V384" s="227"/>
      <c r="W384" s="227"/>
      <c r="X384" s="227"/>
      <c r="Y384" s="227"/>
      <c r="Z384" s="227"/>
    </row>
    <row r="385" spans="1:26" ht="12.75" customHeight="1">
      <c r="A385" s="174"/>
      <c r="B385" s="174"/>
      <c r="C385" s="174"/>
      <c r="D385" s="174"/>
      <c r="E385" s="174"/>
      <c r="F385" s="150"/>
      <c r="G385" s="174"/>
      <c r="H385" s="174"/>
      <c r="I385" s="174"/>
      <c r="J385" s="174"/>
      <c r="K385" s="174"/>
      <c r="L385" s="174"/>
      <c r="M385" s="174"/>
      <c r="N385" s="174"/>
      <c r="O385" s="227"/>
      <c r="P385" s="227"/>
      <c r="Q385" s="227"/>
      <c r="R385" s="227"/>
      <c r="S385" s="227"/>
      <c r="T385" s="227"/>
      <c r="U385" s="227"/>
      <c r="V385" s="227"/>
      <c r="W385" s="227"/>
      <c r="X385" s="227"/>
      <c r="Y385" s="227"/>
      <c r="Z385" s="227"/>
    </row>
    <row r="386" spans="1:26" ht="12.75" customHeight="1">
      <c r="A386" s="174"/>
      <c r="B386" s="174"/>
      <c r="C386" s="174"/>
      <c r="D386" s="174"/>
      <c r="E386" s="174"/>
      <c r="F386" s="150"/>
      <c r="G386" s="174"/>
      <c r="H386" s="174"/>
      <c r="I386" s="174"/>
      <c r="J386" s="174"/>
      <c r="K386" s="174"/>
      <c r="L386" s="174"/>
      <c r="M386" s="174"/>
      <c r="N386" s="174"/>
      <c r="O386" s="227"/>
      <c r="P386" s="227"/>
      <c r="Q386" s="227"/>
      <c r="R386" s="227"/>
      <c r="S386" s="227"/>
      <c r="T386" s="227"/>
      <c r="U386" s="227"/>
      <c r="V386" s="227"/>
      <c r="W386" s="227"/>
      <c r="X386" s="227"/>
      <c r="Y386" s="227"/>
      <c r="Z386" s="227"/>
    </row>
    <row r="387" spans="1:26" ht="12.75" customHeight="1">
      <c r="A387" s="174"/>
      <c r="B387" s="174"/>
      <c r="C387" s="174"/>
      <c r="D387" s="174"/>
      <c r="E387" s="174"/>
      <c r="F387" s="150"/>
      <c r="G387" s="174"/>
      <c r="H387" s="174"/>
      <c r="I387" s="174"/>
      <c r="J387" s="174"/>
      <c r="K387" s="174"/>
      <c r="L387" s="174"/>
      <c r="M387" s="174"/>
      <c r="N387" s="174"/>
      <c r="O387" s="227"/>
      <c r="P387" s="227"/>
      <c r="Q387" s="227"/>
      <c r="R387" s="227"/>
      <c r="S387" s="227"/>
      <c r="T387" s="227"/>
      <c r="U387" s="227"/>
      <c r="V387" s="227"/>
      <c r="W387" s="227"/>
      <c r="X387" s="227"/>
      <c r="Y387" s="227"/>
      <c r="Z387" s="227"/>
    </row>
    <row r="388" spans="1:26" ht="12.75" customHeight="1">
      <c r="A388" s="174"/>
      <c r="B388" s="174"/>
      <c r="C388" s="174"/>
      <c r="D388" s="174"/>
      <c r="E388" s="174"/>
      <c r="F388" s="150"/>
      <c r="G388" s="174"/>
      <c r="H388" s="174"/>
      <c r="I388" s="174"/>
      <c r="J388" s="174"/>
      <c r="K388" s="174"/>
      <c r="L388" s="174"/>
      <c r="M388" s="174"/>
      <c r="N388" s="174"/>
      <c r="O388" s="227"/>
      <c r="P388" s="227"/>
      <c r="Q388" s="227"/>
      <c r="R388" s="227"/>
      <c r="S388" s="227"/>
      <c r="T388" s="227"/>
      <c r="U388" s="227"/>
      <c r="V388" s="227"/>
      <c r="W388" s="227"/>
      <c r="X388" s="227"/>
      <c r="Y388" s="227"/>
      <c r="Z388" s="227"/>
    </row>
    <row r="389" spans="1:26" ht="12.75" customHeight="1">
      <c r="A389" s="174"/>
      <c r="B389" s="174"/>
      <c r="C389" s="174"/>
      <c r="D389" s="174"/>
      <c r="E389" s="174"/>
      <c r="F389" s="150"/>
      <c r="G389" s="174"/>
      <c r="H389" s="174"/>
      <c r="I389" s="174"/>
      <c r="J389" s="174"/>
      <c r="K389" s="174"/>
      <c r="L389" s="174"/>
      <c r="M389" s="174"/>
      <c r="N389" s="174"/>
      <c r="O389" s="227"/>
      <c r="P389" s="227"/>
      <c r="Q389" s="227"/>
      <c r="R389" s="227"/>
      <c r="S389" s="227"/>
      <c r="T389" s="227"/>
      <c r="U389" s="227"/>
      <c r="V389" s="227"/>
      <c r="W389" s="227"/>
      <c r="X389" s="227"/>
      <c r="Y389" s="227"/>
      <c r="Z389" s="227"/>
    </row>
    <row r="390" spans="1:26" ht="12.75" customHeight="1">
      <c r="A390" s="174"/>
      <c r="B390" s="174"/>
      <c r="C390" s="174"/>
      <c r="D390" s="174"/>
      <c r="E390" s="174"/>
      <c r="F390" s="150"/>
      <c r="G390" s="174"/>
      <c r="H390" s="174"/>
      <c r="I390" s="174"/>
      <c r="J390" s="174"/>
      <c r="K390" s="174"/>
      <c r="L390" s="174"/>
      <c r="M390" s="174"/>
      <c r="N390" s="174"/>
      <c r="O390" s="227"/>
      <c r="P390" s="227"/>
      <c r="Q390" s="227"/>
      <c r="R390" s="227"/>
      <c r="S390" s="227"/>
      <c r="T390" s="227"/>
      <c r="U390" s="227"/>
      <c r="V390" s="227"/>
      <c r="W390" s="227"/>
      <c r="X390" s="227"/>
      <c r="Y390" s="227"/>
      <c r="Z390" s="227"/>
    </row>
    <row r="391" spans="1:26" ht="12.75" customHeight="1">
      <c r="A391" s="174"/>
      <c r="B391" s="174"/>
      <c r="C391" s="174"/>
      <c r="D391" s="174"/>
      <c r="E391" s="174"/>
      <c r="F391" s="150"/>
      <c r="G391" s="174"/>
      <c r="H391" s="174"/>
      <c r="I391" s="174"/>
      <c r="J391" s="174"/>
      <c r="K391" s="174"/>
      <c r="L391" s="174"/>
      <c r="M391" s="174"/>
      <c r="N391" s="174"/>
      <c r="O391" s="227"/>
      <c r="P391" s="227"/>
      <c r="Q391" s="227"/>
      <c r="R391" s="227"/>
      <c r="S391" s="227"/>
      <c r="T391" s="227"/>
      <c r="U391" s="227"/>
      <c r="V391" s="227"/>
      <c r="W391" s="227"/>
      <c r="X391" s="227"/>
      <c r="Y391" s="227"/>
      <c r="Z391" s="227"/>
    </row>
    <row r="392" spans="1:26" ht="12.75" customHeight="1">
      <c r="A392" s="174"/>
      <c r="B392" s="174"/>
      <c r="C392" s="174"/>
      <c r="D392" s="174"/>
      <c r="E392" s="174"/>
      <c r="F392" s="150"/>
      <c r="G392" s="174"/>
      <c r="H392" s="174"/>
      <c r="I392" s="174"/>
      <c r="J392" s="174"/>
      <c r="K392" s="174"/>
      <c r="L392" s="174"/>
      <c r="M392" s="174"/>
      <c r="N392" s="174"/>
      <c r="O392" s="227"/>
      <c r="P392" s="227"/>
      <c r="Q392" s="227"/>
      <c r="R392" s="227"/>
      <c r="S392" s="227"/>
      <c r="T392" s="227"/>
      <c r="U392" s="227"/>
      <c r="V392" s="227"/>
      <c r="W392" s="227"/>
      <c r="X392" s="227"/>
      <c r="Y392" s="227"/>
      <c r="Z392" s="227"/>
    </row>
    <row r="393" spans="1:26" ht="12.75" customHeight="1">
      <c r="A393" s="174"/>
      <c r="B393" s="174"/>
      <c r="C393" s="174"/>
      <c r="D393" s="174"/>
      <c r="E393" s="174"/>
      <c r="F393" s="150"/>
      <c r="G393" s="174"/>
      <c r="H393" s="174"/>
      <c r="I393" s="174"/>
      <c r="J393" s="174"/>
      <c r="K393" s="174"/>
      <c r="L393" s="174"/>
      <c r="M393" s="174"/>
      <c r="N393" s="174"/>
      <c r="O393" s="227"/>
      <c r="P393" s="227"/>
      <c r="Q393" s="227"/>
      <c r="R393" s="227"/>
      <c r="S393" s="227"/>
      <c r="T393" s="227"/>
      <c r="U393" s="227"/>
      <c r="V393" s="227"/>
      <c r="W393" s="227"/>
      <c r="X393" s="227"/>
      <c r="Y393" s="227"/>
      <c r="Z393" s="227"/>
    </row>
    <row r="394" spans="1:26" ht="12.75" customHeight="1">
      <c r="A394" s="174"/>
      <c r="B394" s="174"/>
      <c r="C394" s="174"/>
      <c r="D394" s="174"/>
      <c r="E394" s="174"/>
      <c r="F394" s="150"/>
      <c r="G394" s="174"/>
      <c r="H394" s="174"/>
      <c r="I394" s="174"/>
      <c r="J394" s="174"/>
      <c r="K394" s="174"/>
      <c r="L394" s="174"/>
      <c r="M394" s="174"/>
      <c r="N394" s="174"/>
      <c r="O394" s="227"/>
      <c r="P394" s="227"/>
      <c r="Q394" s="227"/>
      <c r="R394" s="227"/>
      <c r="S394" s="227"/>
      <c r="T394" s="227"/>
      <c r="U394" s="227"/>
      <c r="V394" s="227"/>
      <c r="W394" s="227"/>
      <c r="X394" s="227"/>
      <c r="Y394" s="227"/>
      <c r="Z394" s="227"/>
    </row>
    <row r="395" spans="1:26" ht="12.75" customHeight="1">
      <c r="A395" s="174"/>
      <c r="B395" s="174"/>
      <c r="C395" s="174"/>
      <c r="D395" s="174"/>
      <c r="E395" s="174"/>
      <c r="F395" s="150"/>
      <c r="G395" s="174"/>
      <c r="H395" s="174"/>
      <c r="I395" s="174"/>
      <c r="J395" s="174"/>
      <c r="K395" s="174"/>
      <c r="L395" s="174"/>
      <c r="M395" s="174"/>
      <c r="N395" s="174"/>
      <c r="O395" s="227"/>
      <c r="P395" s="227"/>
      <c r="Q395" s="227"/>
      <c r="R395" s="227"/>
      <c r="S395" s="227"/>
      <c r="T395" s="227"/>
      <c r="U395" s="227"/>
      <c r="V395" s="227"/>
      <c r="W395" s="227"/>
      <c r="X395" s="227"/>
      <c r="Y395" s="227"/>
      <c r="Z395" s="227"/>
    </row>
    <row r="396" spans="1:26" ht="12.75" customHeight="1">
      <c r="A396" s="174"/>
      <c r="B396" s="174"/>
      <c r="C396" s="174"/>
      <c r="D396" s="174"/>
      <c r="E396" s="174"/>
      <c r="F396" s="150"/>
      <c r="G396" s="174"/>
      <c r="H396" s="174"/>
      <c r="I396" s="174"/>
      <c r="J396" s="174"/>
      <c r="K396" s="174"/>
      <c r="L396" s="174"/>
      <c r="M396" s="174"/>
      <c r="N396" s="174"/>
      <c r="O396" s="227"/>
      <c r="P396" s="227"/>
      <c r="Q396" s="227"/>
      <c r="R396" s="227"/>
      <c r="S396" s="227"/>
      <c r="T396" s="227"/>
      <c r="U396" s="227"/>
      <c r="V396" s="227"/>
      <c r="W396" s="227"/>
      <c r="X396" s="227"/>
      <c r="Y396" s="227"/>
      <c r="Z396" s="227"/>
    </row>
    <row r="397" spans="1:26" ht="12.75" customHeight="1">
      <c r="A397" s="174"/>
      <c r="B397" s="174"/>
      <c r="C397" s="174"/>
      <c r="D397" s="174"/>
      <c r="E397" s="174"/>
      <c r="F397" s="150"/>
      <c r="G397" s="174"/>
      <c r="H397" s="174"/>
      <c r="I397" s="174"/>
      <c r="J397" s="174"/>
      <c r="K397" s="174"/>
      <c r="L397" s="174"/>
      <c r="M397" s="174"/>
      <c r="N397" s="174"/>
      <c r="O397" s="227"/>
      <c r="P397" s="227"/>
      <c r="Q397" s="227"/>
      <c r="R397" s="227"/>
      <c r="S397" s="227"/>
      <c r="T397" s="227"/>
      <c r="U397" s="227"/>
      <c r="V397" s="227"/>
      <c r="W397" s="227"/>
      <c r="X397" s="227"/>
      <c r="Y397" s="227"/>
      <c r="Z397" s="227"/>
    </row>
    <row r="398" spans="1:26" ht="12.75" customHeight="1">
      <c r="A398" s="174"/>
      <c r="B398" s="174"/>
      <c r="C398" s="174"/>
      <c r="D398" s="174"/>
      <c r="E398" s="174"/>
      <c r="F398" s="150"/>
      <c r="G398" s="174"/>
      <c r="H398" s="174"/>
      <c r="I398" s="174"/>
      <c r="J398" s="174"/>
      <c r="K398" s="174"/>
      <c r="L398" s="174"/>
      <c r="M398" s="174"/>
      <c r="N398" s="174"/>
      <c r="O398" s="227"/>
      <c r="P398" s="227"/>
      <c r="Q398" s="227"/>
      <c r="R398" s="227"/>
      <c r="S398" s="227"/>
      <c r="T398" s="227"/>
      <c r="U398" s="227"/>
      <c r="V398" s="227"/>
      <c r="W398" s="227"/>
      <c r="X398" s="227"/>
      <c r="Y398" s="227"/>
      <c r="Z398" s="227"/>
    </row>
    <row r="399" spans="1:26" ht="12.75" customHeight="1">
      <c r="A399" s="174"/>
      <c r="B399" s="174"/>
      <c r="C399" s="174"/>
      <c r="D399" s="174"/>
      <c r="E399" s="174"/>
      <c r="F399" s="150"/>
      <c r="G399" s="174"/>
      <c r="H399" s="174"/>
      <c r="I399" s="174"/>
      <c r="J399" s="174"/>
      <c r="K399" s="174"/>
      <c r="L399" s="174"/>
      <c r="M399" s="174"/>
      <c r="N399" s="174"/>
      <c r="O399" s="227"/>
      <c r="P399" s="227"/>
      <c r="Q399" s="227"/>
      <c r="R399" s="227"/>
      <c r="S399" s="227"/>
      <c r="T399" s="227"/>
      <c r="U399" s="227"/>
      <c r="V399" s="227"/>
      <c r="W399" s="227"/>
      <c r="X399" s="227"/>
      <c r="Y399" s="227"/>
      <c r="Z399" s="227"/>
    </row>
    <row r="400" spans="1:26" ht="12.75" customHeight="1">
      <c r="A400" s="174"/>
      <c r="B400" s="174"/>
      <c r="C400" s="174"/>
      <c r="D400" s="174"/>
      <c r="E400" s="174"/>
      <c r="F400" s="150"/>
      <c r="G400" s="174"/>
      <c r="H400" s="174"/>
      <c r="I400" s="174"/>
      <c r="J400" s="174"/>
      <c r="K400" s="174"/>
      <c r="L400" s="174"/>
      <c r="M400" s="174"/>
      <c r="N400" s="174"/>
      <c r="O400" s="227"/>
      <c r="P400" s="227"/>
      <c r="Q400" s="227"/>
      <c r="R400" s="227"/>
      <c r="S400" s="227"/>
      <c r="T400" s="227"/>
      <c r="U400" s="227"/>
      <c r="V400" s="227"/>
      <c r="W400" s="227"/>
      <c r="X400" s="227"/>
      <c r="Y400" s="227"/>
      <c r="Z400" s="227"/>
    </row>
    <row r="401" spans="1:26" ht="12.75" customHeight="1">
      <c r="A401" s="174"/>
      <c r="B401" s="174"/>
      <c r="C401" s="174"/>
      <c r="D401" s="174"/>
      <c r="E401" s="174"/>
      <c r="F401" s="150"/>
      <c r="G401" s="174"/>
      <c r="H401" s="174"/>
      <c r="I401" s="174"/>
      <c r="J401" s="174"/>
      <c r="K401" s="174"/>
      <c r="L401" s="174"/>
      <c r="M401" s="174"/>
      <c r="N401" s="174"/>
      <c r="O401" s="227"/>
      <c r="P401" s="227"/>
      <c r="Q401" s="227"/>
      <c r="R401" s="227"/>
      <c r="S401" s="227"/>
      <c r="T401" s="227"/>
      <c r="U401" s="227"/>
      <c r="V401" s="227"/>
      <c r="W401" s="227"/>
      <c r="X401" s="227"/>
      <c r="Y401" s="227"/>
      <c r="Z401" s="227"/>
    </row>
    <row r="402" spans="1:26" ht="12.75" customHeight="1">
      <c r="A402" s="174"/>
      <c r="B402" s="174"/>
      <c r="C402" s="174"/>
      <c r="D402" s="174"/>
      <c r="E402" s="174"/>
      <c r="F402" s="150"/>
      <c r="G402" s="174"/>
      <c r="H402" s="174"/>
      <c r="I402" s="174"/>
      <c r="J402" s="174"/>
      <c r="K402" s="174"/>
      <c r="L402" s="174"/>
      <c r="M402" s="174"/>
      <c r="N402" s="174"/>
      <c r="O402" s="227"/>
      <c r="P402" s="227"/>
      <c r="Q402" s="227"/>
      <c r="R402" s="227"/>
      <c r="S402" s="227"/>
      <c r="T402" s="227"/>
      <c r="U402" s="227"/>
      <c r="V402" s="227"/>
      <c r="W402" s="227"/>
      <c r="X402" s="227"/>
      <c r="Y402" s="227"/>
      <c r="Z402" s="227"/>
    </row>
    <row r="403" spans="1:26" ht="12.75" customHeight="1">
      <c r="A403" s="174"/>
      <c r="B403" s="174"/>
      <c r="C403" s="174"/>
      <c r="D403" s="174"/>
      <c r="E403" s="174"/>
      <c r="F403" s="150"/>
      <c r="G403" s="174"/>
      <c r="H403" s="174"/>
      <c r="I403" s="174"/>
      <c r="J403" s="174"/>
      <c r="K403" s="174"/>
      <c r="L403" s="174"/>
      <c r="M403" s="174"/>
      <c r="N403" s="174"/>
      <c r="O403" s="227"/>
      <c r="P403" s="227"/>
      <c r="Q403" s="227"/>
      <c r="R403" s="227"/>
      <c r="S403" s="227"/>
      <c r="T403" s="227"/>
      <c r="U403" s="227"/>
      <c r="V403" s="227"/>
      <c r="W403" s="227"/>
      <c r="X403" s="227"/>
      <c r="Y403" s="227"/>
      <c r="Z403" s="227"/>
    </row>
    <row r="404" spans="1:26" ht="12.75" customHeight="1">
      <c r="A404" s="174"/>
      <c r="B404" s="174"/>
      <c r="C404" s="174"/>
      <c r="D404" s="174"/>
      <c r="E404" s="174"/>
      <c r="F404" s="150"/>
      <c r="G404" s="174"/>
      <c r="H404" s="174"/>
      <c r="I404" s="174"/>
      <c r="J404" s="174"/>
      <c r="K404" s="174"/>
      <c r="L404" s="174"/>
      <c r="M404" s="174"/>
      <c r="N404" s="174"/>
      <c r="O404" s="227"/>
      <c r="P404" s="227"/>
      <c r="Q404" s="227"/>
      <c r="R404" s="227"/>
      <c r="S404" s="227"/>
      <c r="T404" s="227"/>
      <c r="U404" s="227"/>
      <c r="V404" s="227"/>
      <c r="W404" s="227"/>
      <c r="X404" s="227"/>
      <c r="Y404" s="227"/>
      <c r="Z404" s="227"/>
    </row>
    <row r="405" spans="1:26" ht="12.75" customHeight="1">
      <c r="A405" s="174"/>
      <c r="B405" s="174"/>
      <c r="C405" s="174"/>
      <c r="D405" s="174"/>
      <c r="E405" s="174"/>
      <c r="F405" s="150"/>
      <c r="G405" s="174"/>
      <c r="H405" s="174"/>
      <c r="I405" s="174"/>
      <c r="J405" s="174"/>
      <c r="K405" s="174"/>
      <c r="L405" s="174"/>
      <c r="M405" s="174"/>
      <c r="N405" s="174"/>
      <c r="O405" s="227"/>
      <c r="P405" s="227"/>
      <c r="Q405" s="227"/>
      <c r="R405" s="227"/>
      <c r="S405" s="227"/>
      <c r="T405" s="227"/>
      <c r="U405" s="227"/>
      <c r="V405" s="227"/>
      <c r="W405" s="227"/>
      <c r="X405" s="227"/>
      <c r="Y405" s="227"/>
      <c r="Z405" s="227"/>
    </row>
    <row r="406" spans="1:26" ht="12.75" customHeight="1">
      <c r="A406" s="174"/>
      <c r="B406" s="174"/>
      <c r="C406" s="174"/>
      <c r="D406" s="174"/>
      <c r="E406" s="174"/>
      <c r="F406" s="150"/>
      <c r="G406" s="174"/>
      <c r="H406" s="174"/>
      <c r="I406" s="174"/>
      <c r="J406" s="174"/>
      <c r="K406" s="174"/>
      <c r="L406" s="174"/>
      <c r="M406" s="174"/>
      <c r="N406" s="174"/>
      <c r="O406" s="227"/>
      <c r="P406" s="227"/>
      <c r="Q406" s="227"/>
      <c r="R406" s="227"/>
      <c r="S406" s="227"/>
      <c r="T406" s="227"/>
      <c r="U406" s="227"/>
      <c r="V406" s="227"/>
      <c r="W406" s="227"/>
      <c r="X406" s="227"/>
      <c r="Y406" s="227"/>
      <c r="Z406" s="227"/>
    </row>
    <row r="407" spans="1:26" ht="12.75" customHeight="1">
      <c r="A407" s="174"/>
      <c r="B407" s="174"/>
      <c r="C407" s="174"/>
      <c r="D407" s="174"/>
      <c r="E407" s="174"/>
      <c r="F407" s="150"/>
      <c r="G407" s="174"/>
      <c r="H407" s="174"/>
      <c r="I407" s="174"/>
      <c r="J407" s="174"/>
      <c r="K407" s="174"/>
      <c r="L407" s="174"/>
      <c r="M407" s="174"/>
      <c r="N407" s="174"/>
      <c r="O407" s="227"/>
      <c r="P407" s="227"/>
      <c r="Q407" s="227"/>
      <c r="R407" s="227"/>
      <c r="S407" s="227"/>
      <c r="T407" s="227"/>
      <c r="U407" s="227"/>
      <c r="V407" s="227"/>
      <c r="W407" s="227"/>
      <c r="X407" s="227"/>
      <c r="Y407" s="227"/>
      <c r="Z407" s="227"/>
    </row>
    <row r="408" spans="1:26" ht="12.75" customHeight="1">
      <c r="A408" s="174"/>
      <c r="B408" s="174"/>
      <c r="C408" s="174"/>
      <c r="D408" s="174"/>
      <c r="E408" s="174"/>
      <c r="F408" s="150"/>
      <c r="G408" s="174"/>
      <c r="H408" s="174"/>
      <c r="I408" s="174"/>
      <c r="J408" s="174"/>
      <c r="K408" s="174"/>
      <c r="L408" s="174"/>
      <c r="M408" s="174"/>
      <c r="N408" s="174"/>
      <c r="O408" s="227"/>
      <c r="P408" s="227"/>
      <c r="Q408" s="227"/>
      <c r="R408" s="227"/>
      <c r="S408" s="227"/>
      <c r="T408" s="227"/>
      <c r="U408" s="227"/>
      <c r="V408" s="227"/>
      <c r="W408" s="227"/>
      <c r="X408" s="227"/>
      <c r="Y408" s="227"/>
      <c r="Z408" s="227"/>
    </row>
    <row r="409" spans="1:26" ht="12.75" customHeight="1">
      <c r="A409" s="174"/>
      <c r="B409" s="174"/>
      <c r="C409" s="174"/>
      <c r="D409" s="174"/>
      <c r="E409" s="174"/>
      <c r="F409" s="150"/>
      <c r="G409" s="174"/>
      <c r="H409" s="174"/>
      <c r="I409" s="174"/>
      <c r="J409" s="174"/>
      <c r="K409" s="174"/>
      <c r="L409" s="174"/>
      <c r="M409" s="174"/>
      <c r="N409" s="174"/>
      <c r="O409" s="227"/>
      <c r="P409" s="227"/>
      <c r="Q409" s="227"/>
      <c r="R409" s="227"/>
      <c r="S409" s="227"/>
      <c r="T409" s="227"/>
      <c r="U409" s="227"/>
      <c r="V409" s="227"/>
      <c r="W409" s="227"/>
      <c r="X409" s="227"/>
      <c r="Y409" s="227"/>
      <c r="Z409" s="227"/>
    </row>
    <row r="410" spans="1:26" ht="12.75" customHeight="1">
      <c r="A410" s="174"/>
      <c r="B410" s="174"/>
      <c r="C410" s="174"/>
      <c r="D410" s="174"/>
      <c r="E410" s="174"/>
      <c r="F410" s="150"/>
      <c r="G410" s="174"/>
      <c r="H410" s="174"/>
      <c r="I410" s="174"/>
      <c r="J410" s="174"/>
      <c r="K410" s="174"/>
      <c r="L410" s="174"/>
      <c r="M410" s="174"/>
      <c r="N410" s="174"/>
      <c r="O410" s="227"/>
      <c r="P410" s="227"/>
      <c r="Q410" s="227"/>
      <c r="R410" s="227"/>
      <c r="S410" s="227"/>
      <c r="T410" s="227"/>
      <c r="U410" s="227"/>
      <c r="V410" s="227"/>
      <c r="W410" s="227"/>
      <c r="X410" s="227"/>
      <c r="Y410" s="227"/>
      <c r="Z410" s="227"/>
    </row>
    <row r="411" spans="1:26" ht="12.75" customHeight="1">
      <c r="A411" s="174"/>
      <c r="B411" s="174"/>
      <c r="C411" s="174"/>
      <c r="D411" s="174"/>
      <c r="E411" s="174"/>
      <c r="F411" s="150"/>
      <c r="G411" s="174"/>
      <c r="H411" s="174"/>
      <c r="I411" s="174"/>
      <c r="J411" s="174"/>
      <c r="K411" s="174"/>
      <c r="L411" s="174"/>
      <c r="M411" s="174"/>
      <c r="N411" s="174"/>
      <c r="O411" s="227"/>
      <c r="P411" s="227"/>
      <c r="Q411" s="227"/>
      <c r="R411" s="227"/>
      <c r="S411" s="227"/>
      <c r="T411" s="227"/>
      <c r="U411" s="227"/>
      <c r="V411" s="227"/>
      <c r="W411" s="227"/>
      <c r="X411" s="227"/>
      <c r="Y411" s="227"/>
      <c r="Z411" s="227"/>
    </row>
    <row r="412" spans="1:26" ht="12.75" customHeight="1">
      <c r="A412" s="174"/>
      <c r="B412" s="174"/>
      <c r="C412" s="174"/>
      <c r="D412" s="174"/>
      <c r="E412" s="174"/>
      <c r="F412" s="150"/>
      <c r="G412" s="174"/>
      <c r="H412" s="174"/>
      <c r="I412" s="174"/>
      <c r="J412" s="174"/>
      <c r="K412" s="174"/>
      <c r="L412" s="174"/>
      <c r="M412" s="174"/>
      <c r="N412" s="174"/>
      <c r="O412" s="227"/>
      <c r="P412" s="227"/>
      <c r="Q412" s="227"/>
      <c r="R412" s="227"/>
      <c r="S412" s="227"/>
      <c r="T412" s="227"/>
      <c r="U412" s="227"/>
      <c r="V412" s="227"/>
      <c r="W412" s="227"/>
      <c r="X412" s="227"/>
      <c r="Y412" s="227"/>
      <c r="Z412" s="227"/>
    </row>
    <row r="413" spans="1:26" ht="12.75" customHeight="1">
      <c r="A413" s="174"/>
      <c r="B413" s="174"/>
      <c r="C413" s="174"/>
      <c r="D413" s="174"/>
      <c r="E413" s="174"/>
      <c r="F413" s="150"/>
      <c r="G413" s="174"/>
      <c r="H413" s="174"/>
      <c r="I413" s="174"/>
      <c r="J413" s="174"/>
      <c r="K413" s="174"/>
      <c r="L413" s="174"/>
      <c r="M413" s="174"/>
      <c r="N413" s="174"/>
      <c r="O413" s="227"/>
      <c r="P413" s="227"/>
      <c r="Q413" s="227"/>
      <c r="R413" s="227"/>
      <c r="S413" s="227"/>
      <c r="T413" s="227"/>
      <c r="U413" s="227"/>
      <c r="V413" s="227"/>
      <c r="W413" s="227"/>
      <c r="X413" s="227"/>
      <c r="Y413" s="227"/>
      <c r="Z413" s="227"/>
    </row>
    <row r="414" spans="1:26" ht="12.75" customHeight="1">
      <c r="A414" s="174"/>
      <c r="B414" s="174"/>
      <c r="C414" s="174"/>
      <c r="D414" s="174"/>
      <c r="E414" s="174"/>
      <c r="F414" s="150"/>
      <c r="G414" s="174"/>
      <c r="H414" s="174"/>
      <c r="I414" s="174"/>
      <c r="J414" s="174"/>
      <c r="K414" s="174"/>
      <c r="L414" s="174"/>
      <c r="M414" s="174"/>
      <c r="N414" s="174"/>
      <c r="O414" s="227"/>
      <c r="P414" s="227"/>
      <c r="Q414" s="227"/>
      <c r="R414" s="227"/>
      <c r="S414" s="227"/>
      <c r="T414" s="227"/>
      <c r="U414" s="227"/>
      <c r="V414" s="227"/>
      <c r="W414" s="227"/>
      <c r="X414" s="227"/>
      <c r="Y414" s="227"/>
      <c r="Z414" s="227"/>
    </row>
    <row r="415" spans="1:26" ht="12.75" customHeight="1">
      <c r="A415" s="174"/>
      <c r="B415" s="174"/>
      <c r="C415" s="174"/>
      <c r="D415" s="174"/>
      <c r="E415" s="174"/>
      <c r="F415" s="150"/>
      <c r="G415" s="174"/>
      <c r="H415" s="174"/>
      <c r="I415" s="174"/>
      <c r="J415" s="174"/>
      <c r="K415" s="174"/>
      <c r="L415" s="174"/>
      <c r="M415" s="174"/>
      <c r="N415" s="174"/>
      <c r="O415" s="227"/>
      <c r="P415" s="227"/>
      <c r="Q415" s="227"/>
      <c r="R415" s="227"/>
      <c r="S415" s="227"/>
      <c r="T415" s="227"/>
      <c r="U415" s="227"/>
      <c r="V415" s="227"/>
      <c r="W415" s="227"/>
      <c r="X415" s="227"/>
      <c r="Y415" s="227"/>
      <c r="Z415" s="227"/>
    </row>
    <row r="416" spans="1:26" ht="12.75" customHeight="1">
      <c r="A416" s="174"/>
      <c r="B416" s="174"/>
      <c r="C416" s="174"/>
      <c r="D416" s="174"/>
      <c r="E416" s="174"/>
      <c r="F416" s="150"/>
      <c r="G416" s="174"/>
      <c r="H416" s="174"/>
      <c r="I416" s="174"/>
      <c r="J416" s="174"/>
      <c r="K416" s="174"/>
      <c r="L416" s="174"/>
      <c r="M416" s="174"/>
      <c r="N416" s="174"/>
      <c r="O416" s="227"/>
      <c r="P416" s="227"/>
      <c r="Q416" s="227"/>
      <c r="R416" s="227"/>
      <c r="S416" s="227"/>
      <c r="T416" s="227"/>
      <c r="U416" s="227"/>
      <c r="V416" s="227"/>
      <c r="W416" s="227"/>
      <c r="X416" s="227"/>
      <c r="Y416" s="227"/>
      <c r="Z416" s="227"/>
    </row>
    <row r="417" spans="1:26" ht="12.75" customHeight="1">
      <c r="A417" s="174"/>
      <c r="B417" s="174"/>
      <c r="C417" s="174"/>
      <c r="D417" s="174"/>
      <c r="E417" s="174"/>
      <c r="F417" s="150"/>
      <c r="G417" s="174"/>
      <c r="N417" s="192"/>
      <c r="O417" s="227"/>
      <c r="P417" s="227"/>
      <c r="Q417" s="227"/>
      <c r="R417" s="227"/>
      <c r="S417" s="227"/>
      <c r="T417" s="227"/>
      <c r="U417" s="227"/>
      <c r="V417" s="227"/>
      <c r="W417" s="227"/>
      <c r="X417" s="227"/>
      <c r="Y417" s="227"/>
      <c r="Z417" s="227"/>
    </row>
    <row r="418" spans="1:26" ht="12.75" customHeight="1">
      <c r="A418" s="174"/>
      <c r="B418" s="174"/>
      <c r="C418" s="174"/>
      <c r="D418" s="174"/>
      <c r="E418" s="174"/>
      <c r="F418" s="150"/>
      <c r="G418" s="174"/>
      <c r="N418" s="192"/>
      <c r="O418" s="227"/>
      <c r="P418" s="227"/>
      <c r="Q418" s="227"/>
      <c r="R418" s="227"/>
      <c r="S418" s="227"/>
      <c r="T418" s="227"/>
      <c r="U418" s="227"/>
      <c r="V418" s="227"/>
      <c r="W418" s="227"/>
      <c r="X418" s="227"/>
      <c r="Y418" s="227"/>
      <c r="Z418" s="227"/>
    </row>
    <row r="419" spans="1:26" ht="12.75" customHeight="1">
      <c r="A419" s="174"/>
      <c r="B419" s="174"/>
      <c r="C419" s="174"/>
      <c r="D419" s="174"/>
      <c r="E419" s="174"/>
      <c r="F419" s="150"/>
      <c r="G419" s="174"/>
      <c r="N419" s="192"/>
      <c r="O419" s="227"/>
      <c r="P419" s="227"/>
      <c r="Q419" s="227"/>
      <c r="R419" s="227"/>
      <c r="S419" s="227"/>
      <c r="T419" s="227"/>
      <c r="U419" s="227"/>
      <c r="V419" s="227"/>
      <c r="W419" s="227"/>
      <c r="X419" s="227"/>
      <c r="Y419" s="227"/>
      <c r="Z419" s="227"/>
    </row>
    <row r="420" spans="1:26" ht="12.75" customHeight="1">
      <c r="A420" s="174"/>
      <c r="B420" s="174"/>
      <c r="C420" s="174"/>
      <c r="D420" s="174"/>
      <c r="E420" s="174"/>
      <c r="F420" s="150"/>
      <c r="G420" s="174"/>
      <c r="N420" s="192"/>
      <c r="O420" s="227"/>
      <c r="P420" s="227"/>
      <c r="Q420" s="227"/>
      <c r="R420" s="227"/>
      <c r="S420" s="227"/>
      <c r="T420" s="227"/>
      <c r="U420" s="227"/>
      <c r="V420" s="227"/>
      <c r="W420" s="227"/>
      <c r="X420" s="227"/>
      <c r="Y420" s="227"/>
      <c r="Z420" s="227"/>
    </row>
    <row r="421" spans="1:26" ht="12.75" customHeight="1">
      <c r="G421" s="174"/>
      <c r="N421" s="192"/>
      <c r="O421" s="227"/>
      <c r="P421" s="227"/>
      <c r="Q421" s="227"/>
      <c r="R421" s="227"/>
      <c r="S421" s="227"/>
      <c r="T421" s="227"/>
      <c r="U421" s="227"/>
      <c r="V421" s="227"/>
      <c r="W421" s="227"/>
      <c r="X421" s="227"/>
      <c r="Y421" s="227"/>
      <c r="Z421" s="227"/>
    </row>
    <row r="422" spans="1:26" ht="12.75" customHeight="1">
      <c r="G422" s="174"/>
      <c r="N422" s="192"/>
      <c r="O422" s="227"/>
      <c r="P422" s="227"/>
      <c r="Q422" s="227"/>
      <c r="R422" s="227"/>
      <c r="S422" s="227"/>
      <c r="T422" s="227"/>
      <c r="U422" s="227"/>
      <c r="V422" s="227"/>
      <c r="W422" s="227"/>
      <c r="X422" s="227"/>
      <c r="Y422" s="227"/>
      <c r="Z422" s="227"/>
    </row>
    <row r="423" spans="1:26" ht="12.75" customHeight="1">
      <c r="G423" s="174"/>
      <c r="N423" s="192"/>
      <c r="O423" s="227"/>
      <c r="P423" s="227"/>
      <c r="Q423" s="227"/>
      <c r="R423" s="227"/>
      <c r="S423" s="227"/>
      <c r="T423" s="227"/>
      <c r="U423" s="227"/>
      <c r="V423" s="227"/>
      <c r="W423" s="227"/>
      <c r="X423" s="227"/>
      <c r="Y423" s="227"/>
      <c r="Z423" s="227"/>
    </row>
    <row r="424" spans="1:26" ht="12.75" customHeight="1">
      <c r="G424" s="174"/>
      <c r="N424" s="192"/>
      <c r="O424" s="227"/>
      <c r="P424" s="227"/>
      <c r="Q424" s="227"/>
      <c r="R424" s="227"/>
      <c r="S424" s="227"/>
      <c r="T424" s="227"/>
      <c r="U424" s="227"/>
      <c r="V424" s="227"/>
      <c r="W424" s="227"/>
      <c r="X424" s="227"/>
      <c r="Y424" s="227"/>
      <c r="Z424" s="227"/>
    </row>
    <row r="425" spans="1:26" ht="12.75" customHeight="1">
      <c r="G425" s="174"/>
      <c r="N425" s="192"/>
      <c r="O425" s="227"/>
      <c r="P425" s="227"/>
      <c r="Q425" s="227"/>
      <c r="R425" s="227"/>
      <c r="S425" s="227"/>
      <c r="T425" s="227"/>
      <c r="U425" s="227"/>
      <c r="V425" s="227"/>
      <c r="W425" s="227"/>
      <c r="X425" s="227"/>
      <c r="Y425" s="227"/>
      <c r="Z425" s="227"/>
    </row>
    <row r="426" spans="1:26" ht="12.75" customHeight="1">
      <c r="G426" s="174"/>
      <c r="N426" s="192"/>
      <c r="O426" s="227"/>
      <c r="P426" s="227"/>
      <c r="Q426" s="227"/>
      <c r="R426" s="227"/>
      <c r="S426" s="227"/>
      <c r="T426" s="227"/>
      <c r="U426" s="227"/>
      <c r="V426" s="227"/>
      <c r="W426" s="227"/>
      <c r="X426" s="227"/>
      <c r="Y426" s="227"/>
      <c r="Z426" s="227"/>
    </row>
    <row r="427" spans="1:26" ht="12.75" customHeight="1">
      <c r="G427" s="174"/>
      <c r="N427" s="192"/>
      <c r="O427" s="227"/>
      <c r="P427" s="227"/>
      <c r="Q427" s="227"/>
      <c r="R427" s="227"/>
      <c r="S427" s="227"/>
      <c r="T427" s="227"/>
      <c r="U427" s="227"/>
      <c r="V427" s="227"/>
      <c r="W427" s="227"/>
      <c r="X427" s="227"/>
      <c r="Y427" s="227"/>
      <c r="Z427" s="227"/>
    </row>
    <row r="428" spans="1:26" ht="12.75" customHeight="1">
      <c r="G428" s="174"/>
      <c r="N428" s="192"/>
      <c r="O428" s="227"/>
      <c r="P428" s="227"/>
      <c r="Q428" s="227"/>
      <c r="R428" s="227"/>
      <c r="S428" s="227"/>
      <c r="T428" s="227"/>
      <c r="U428" s="227"/>
      <c r="V428" s="227"/>
      <c r="W428" s="227"/>
      <c r="X428" s="227"/>
      <c r="Y428" s="227"/>
      <c r="Z428" s="227"/>
    </row>
    <row r="429" spans="1:26" ht="12.75" customHeight="1">
      <c r="G429" s="174"/>
      <c r="N429" s="192"/>
      <c r="O429" s="227"/>
      <c r="P429" s="227"/>
      <c r="Q429" s="227"/>
      <c r="R429" s="227"/>
      <c r="S429" s="227"/>
      <c r="T429" s="227"/>
      <c r="U429" s="227"/>
      <c r="V429" s="227"/>
      <c r="W429" s="227"/>
      <c r="X429" s="227"/>
      <c r="Y429" s="227"/>
      <c r="Z429" s="227"/>
    </row>
    <row r="430" spans="1:26" ht="12.75" customHeight="1">
      <c r="G430" s="174"/>
      <c r="N430" s="192"/>
      <c r="O430" s="227"/>
      <c r="P430" s="227"/>
      <c r="Q430" s="227"/>
      <c r="R430" s="227"/>
      <c r="S430" s="227"/>
      <c r="T430" s="227"/>
      <c r="U430" s="227"/>
      <c r="V430" s="227"/>
      <c r="W430" s="227"/>
      <c r="X430" s="227"/>
      <c r="Y430" s="227"/>
      <c r="Z430" s="227"/>
    </row>
    <row r="431" spans="1:26" ht="12.75" customHeight="1">
      <c r="G431" s="174"/>
      <c r="N431" s="192"/>
      <c r="O431" s="227"/>
      <c r="P431" s="227"/>
      <c r="Q431" s="227"/>
      <c r="R431" s="227"/>
      <c r="S431" s="227"/>
      <c r="T431" s="227"/>
      <c r="U431" s="227"/>
      <c r="V431" s="227"/>
      <c r="W431" s="227"/>
      <c r="X431" s="227"/>
      <c r="Y431" s="227"/>
      <c r="Z431" s="227"/>
    </row>
    <row r="432" spans="1:26" ht="12.75" customHeight="1">
      <c r="G432" s="174"/>
      <c r="N432" s="192"/>
      <c r="O432" s="227"/>
      <c r="P432" s="227"/>
      <c r="Q432" s="227"/>
      <c r="R432" s="227"/>
      <c r="S432" s="227"/>
      <c r="T432" s="227"/>
      <c r="U432" s="227"/>
      <c r="V432" s="227"/>
      <c r="W432" s="227"/>
      <c r="X432" s="227"/>
      <c r="Y432" s="227"/>
      <c r="Z432" s="227"/>
    </row>
    <row r="433" spans="7:26" ht="12.75" customHeight="1">
      <c r="G433" s="174"/>
      <c r="N433" s="192"/>
      <c r="O433" s="227"/>
      <c r="P433" s="227"/>
      <c r="Q433" s="227"/>
      <c r="R433" s="227"/>
      <c r="S433" s="227"/>
      <c r="T433" s="227"/>
      <c r="U433" s="227"/>
      <c r="V433" s="227"/>
      <c r="W433" s="227"/>
      <c r="X433" s="227"/>
      <c r="Y433" s="227"/>
      <c r="Z433" s="227"/>
    </row>
    <row r="434" spans="7:26" ht="12.75" customHeight="1">
      <c r="G434" s="174"/>
      <c r="N434" s="192"/>
      <c r="O434" s="227"/>
      <c r="P434" s="227"/>
      <c r="Q434" s="227"/>
      <c r="R434" s="227"/>
      <c r="S434" s="227"/>
      <c r="T434" s="227"/>
      <c r="U434" s="227"/>
      <c r="V434" s="227"/>
      <c r="W434" s="227"/>
      <c r="X434" s="227"/>
      <c r="Y434" s="227"/>
      <c r="Z434" s="227"/>
    </row>
    <row r="435" spans="7:26" ht="12.75" customHeight="1">
      <c r="G435" s="174"/>
      <c r="N435" s="192"/>
      <c r="O435" s="227"/>
      <c r="P435" s="227"/>
      <c r="Q435" s="227"/>
      <c r="R435" s="227"/>
      <c r="S435" s="227"/>
      <c r="T435" s="227"/>
      <c r="U435" s="227"/>
      <c r="V435" s="227"/>
      <c r="W435" s="227"/>
      <c r="X435" s="227"/>
      <c r="Y435" s="227"/>
      <c r="Z435" s="227"/>
    </row>
    <row r="436" spans="7:26" ht="12.75" customHeight="1">
      <c r="G436" s="174"/>
      <c r="N436" s="192"/>
      <c r="O436" s="227"/>
      <c r="P436" s="227"/>
      <c r="Q436" s="227"/>
      <c r="R436" s="227"/>
      <c r="S436" s="227"/>
      <c r="T436" s="227"/>
      <c r="U436" s="227"/>
      <c r="V436" s="227"/>
      <c r="W436" s="227"/>
      <c r="X436" s="227"/>
      <c r="Y436" s="227"/>
      <c r="Z436" s="227"/>
    </row>
    <row r="437" spans="7:26" ht="12.75" customHeight="1">
      <c r="G437" s="174"/>
      <c r="N437" s="192"/>
      <c r="O437" s="227"/>
      <c r="P437" s="227"/>
      <c r="Q437" s="227"/>
      <c r="R437" s="227"/>
      <c r="S437" s="227"/>
      <c r="T437" s="227"/>
      <c r="U437" s="227"/>
      <c r="V437" s="227"/>
      <c r="W437" s="227"/>
      <c r="X437" s="227"/>
      <c r="Y437" s="227"/>
      <c r="Z437" s="227"/>
    </row>
    <row r="438" spans="7:26" ht="12.75" customHeight="1">
      <c r="G438" s="174"/>
      <c r="N438" s="192"/>
      <c r="O438" s="227"/>
      <c r="P438" s="227"/>
      <c r="Q438" s="227"/>
      <c r="R438" s="227"/>
      <c r="S438" s="227"/>
      <c r="T438" s="227"/>
      <c r="U438" s="227"/>
      <c r="V438" s="227"/>
      <c r="W438" s="227"/>
      <c r="X438" s="227"/>
      <c r="Y438" s="227"/>
      <c r="Z438" s="227"/>
    </row>
    <row r="439" spans="7:26" ht="12.75" customHeight="1">
      <c r="G439" s="174"/>
      <c r="N439" s="192"/>
      <c r="O439" s="227"/>
      <c r="P439" s="227"/>
      <c r="Q439" s="227"/>
      <c r="R439" s="227"/>
      <c r="S439" s="227"/>
      <c r="T439" s="227"/>
      <c r="U439" s="227"/>
      <c r="V439" s="227"/>
      <c r="W439" s="227"/>
      <c r="X439" s="227"/>
      <c r="Y439" s="227"/>
      <c r="Z439" s="227"/>
    </row>
    <row r="440" spans="7:26" ht="12.75" customHeight="1">
      <c r="G440" s="174"/>
      <c r="N440" s="192"/>
      <c r="O440" s="227"/>
      <c r="P440" s="227"/>
      <c r="Q440" s="227"/>
      <c r="R440" s="227"/>
      <c r="S440" s="227"/>
      <c r="T440" s="227"/>
      <c r="U440" s="227"/>
      <c r="V440" s="227"/>
      <c r="W440" s="227"/>
      <c r="X440" s="227"/>
      <c r="Y440" s="227"/>
      <c r="Z440" s="227"/>
    </row>
    <row r="441" spans="7:26" ht="12.75" customHeight="1">
      <c r="G441" s="174"/>
      <c r="N441" s="192"/>
      <c r="O441" s="227"/>
      <c r="P441" s="227"/>
      <c r="Q441" s="227"/>
      <c r="R441" s="227"/>
      <c r="S441" s="227"/>
      <c r="T441" s="227"/>
      <c r="U441" s="227"/>
      <c r="V441" s="227"/>
      <c r="W441" s="227"/>
      <c r="X441" s="227"/>
      <c r="Y441" s="227"/>
      <c r="Z441" s="227"/>
    </row>
    <row r="442" spans="7:26" ht="12.75" customHeight="1">
      <c r="G442" s="174"/>
      <c r="N442" s="192"/>
      <c r="O442" s="227"/>
      <c r="P442" s="227"/>
      <c r="Q442" s="227"/>
      <c r="R442" s="227"/>
      <c r="S442" s="227"/>
      <c r="T442" s="227"/>
      <c r="U442" s="227"/>
      <c r="V442" s="227"/>
      <c r="W442" s="227"/>
      <c r="X442" s="227"/>
      <c r="Y442" s="227"/>
      <c r="Z442" s="227"/>
    </row>
    <row r="443" spans="7:26" ht="12.75" customHeight="1">
      <c r="G443" s="174"/>
      <c r="N443" s="192"/>
      <c r="O443" s="227"/>
      <c r="P443" s="227"/>
      <c r="Q443" s="227"/>
      <c r="R443" s="227"/>
      <c r="S443" s="227"/>
      <c r="T443" s="227"/>
      <c r="U443" s="227"/>
      <c r="V443" s="227"/>
      <c r="W443" s="227"/>
      <c r="X443" s="227"/>
      <c r="Y443" s="227"/>
      <c r="Z443" s="227"/>
    </row>
    <row r="444" spans="7:26" ht="12.75" customHeight="1">
      <c r="G444" s="174"/>
      <c r="N444" s="192"/>
      <c r="O444" s="227"/>
      <c r="P444" s="227"/>
      <c r="Q444" s="227"/>
      <c r="R444" s="227"/>
      <c r="S444" s="227"/>
      <c r="T444" s="227"/>
      <c r="U444" s="227"/>
      <c r="V444" s="227"/>
      <c r="W444" s="227"/>
      <c r="X444" s="227"/>
      <c r="Y444" s="227"/>
      <c r="Z444" s="227"/>
    </row>
    <row r="445" spans="7:26" ht="12.75" customHeight="1">
      <c r="G445" s="174"/>
      <c r="N445" s="192"/>
      <c r="O445" s="227"/>
      <c r="P445" s="227"/>
      <c r="Q445" s="227"/>
      <c r="R445" s="227"/>
      <c r="S445" s="227"/>
      <c r="T445" s="227"/>
      <c r="U445" s="227"/>
      <c r="V445" s="227"/>
      <c r="W445" s="227"/>
      <c r="X445" s="227"/>
      <c r="Y445" s="227"/>
      <c r="Z445" s="227"/>
    </row>
    <row r="446" spans="7:26" ht="12.75" customHeight="1">
      <c r="G446" s="174"/>
      <c r="N446" s="192"/>
      <c r="O446" s="227"/>
      <c r="P446" s="227"/>
      <c r="Q446" s="227"/>
      <c r="R446" s="227"/>
      <c r="S446" s="227"/>
      <c r="T446" s="227"/>
      <c r="U446" s="227"/>
      <c r="V446" s="227"/>
      <c r="W446" s="227"/>
      <c r="X446" s="227"/>
      <c r="Y446" s="227"/>
      <c r="Z446" s="227"/>
    </row>
    <row r="447" spans="7:26" ht="12.75" customHeight="1">
      <c r="G447" s="174"/>
      <c r="N447" s="192"/>
      <c r="O447" s="227"/>
      <c r="P447" s="227"/>
      <c r="Q447" s="227"/>
      <c r="R447" s="227"/>
      <c r="S447" s="227"/>
      <c r="T447" s="227"/>
      <c r="U447" s="227"/>
      <c r="V447" s="227"/>
      <c r="W447" s="227"/>
      <c r="X447" s="227"/>
      <c r="Y447" s="227"/>
      <c r="Z447" s="227"/>
    </row>
    <row r="448" spans="7:26" ht="12.75" customHeight="1">
      <c r="G448" s="174"/>
      <c r="N448" s="192"/>
      <c r="O448" s="227"/>
      <c r="P448" s="227"/>
      <c r="Q448" s="227"/>
      <c r="R448" s="227"/>
      <c r="S448" s="227"/>
      <c r="T448" s="227"/>
      <c r="U448" s="227"/>
      <c r="V448" s="227"/>
      <c r="W448" s="227"/>
      <c r="X448" s="227"/>
      <c r="Y448" s="227"/>
      <c r="Z448" s="227"/>
    </row>
    <row r="449" spans="7:26" ht="12.75" customHeight="1">
      <c r="G449" s="174"/>
      <c r="N449" s="192"/>
      <c r="O449" s="227"/>
      <c r="P449" s="227"/>
      <c r="Q449" s="227"/>
      <c r="R449" s="227"/>
      <c r="S449" s="227"/>
      <c r="T449" s="227"/>
      <c r="U449" s="227"/>
      <c r="V449" s="227"/>
      <c r="W449" s="227"/>
      <c r="X449" s="227"/>
      <c r="Y449" s="227"/>
      <c r="Z449" s="227"/>
    </row>
    <row r="450" spans="7:26" ht="12.75" customHeight="1">
      <c r="G450" s="174"/>
      <c r="N450" s="192"/>
      <c r="O450" s="227"/>
      <c r="P450" s="227"/>
      <c r="Q450" s="227"/>
      <c r="R450" s="227"/>
      <c r="S450" s="227"/>
      <c r="T450" s="227"/>
      <c r="U450" s="227"/>
      <c r="V450" s="227"/>
      <c r="W450" s="227"/>
      <c r="X450" s="227"/>
      <c r="Y450" s="227"/>
      <c r="Z450" s="227"/>
    </row>
    <row r="451" spans="7:26" ht="12.75" customHeight="1">
      <c r="G451" s="174"/>
      <c r="N451" s="192"/>
      <c r="O451" s="227"/>
      <c r="P451" s="227"/>
      <c r="Q451" s="227"/>
      <c r="R451" s="227"/>
      <c r="S451" s="227"/>
      <c r="T451" s="227"/>
      <c r="U451" s="227"/>
      <c r="V451" s="227"/>
      <c r="W451" s="227"/>
      <c r="X451" s="227"/>
      <c r="Y451" s="227"/>
      <c r="Z451" s="227"/>
    </row>
    <row r="452" spans="7:26" ht="12.75" customHeight="1">
      <c r="G452" s="174"/>
      <c r="N452" s="192"/>
      <c r="O452" s="227"/>
      <c r="P452" s="227"/>
      <c r="Q452" s="227"/>
      <c r="R452" s="227"/>
      <c r="S452" s="227"/>
      <c r="T452" s="227"/>
      <c r="U452" s="227"/>
      <c r="V452" s="227"/>
      <c r="W452" s="227"/>
      <c r="X452" s="227"/>
      <c r="Y452" s="227"/>
      <c r="Z452" s="227"/>
    </row>
    <row r="453" spans="7:26" ht="12.75" customHeight="1">
      <c r="G453" s="174"/>
      <c r="N453" s="192"/>
      <c r="O453" s="227"/>
      <c r="P453" s="227"/>
      <c r="Q453" s="227"/>
      <c r="R453" s="227"/>
      <c r="S453" s="227"/>
      <c r="T453" s="227"/>
      <c r="U453" s="227"/>
      <c r="V453" s="227"/>
      <c r="W453" s="227"/>
      <c r="X453" s="227"/>
      <c r="Y453" s="227"/>
      <c r="Z453" s="227"/>
    </row>
    <row r="454" spans="7:26" ht="12.75" customHeight="1">
      <c r="G454" s="174"/>
      <c r="N454" s="192"/>
      <c r="O454" s="227"/>
      <c r="P454" s="227"/>
      <c r="Q454" s="227"/>
      <c r="R454" s="227"/>
      <c r="S454" s="227"/>
      <c r="T454" s="227"/>
      <c r="U454" s="227"/>
      <c r="V454" s="227"/>
      <c r="W454" s="227"/>
      <c r="X454" s="227"/>
      <c r="Y454" s="227"/>
      <c r="Z454" s="227"/>
    </row>
    <row r="455" spans="7:26" ht="12.75" customHeight="1">
      <c r="G455" s="174"/>
      <c r="N455" s="192"/>
      <c r="O455" s="227"/>
      <c r="P455" s="227"/>
      <c r="Q455" s="227"/>
      <c r="R455" s="227"/>
      <c r="S455" s="227"/>
      <c r="T455" s="227"/>
      <c r="U455" s="227"/>
      <c r="V455" s="227"/>
      <c r="W455" s="227"/>
      <c r="X455" s="227"/>
      <c r="Y455" s="227"/>
      <c r="Z455" s="227"/>
    </row>
    <row r="456" spans="7:26" ht="12.75" customHeight="1">
      <c r="G456" s="174"/>
      <c r="N456" s="192"/>
      <c r="O456" s="227"/>
      <c r="P456" s="227"/>
      <c r="Q456" s="227"/>
      <c r="R456" s="227"/>
      <c r="S456" s="227"/>
      <c r="T456" s="227"/>
      <c r="U456" s="227"/>
      <c r="V456" s="227"/>
      <c r="W456" s="227"/>
      <c r="X456" s="227"/>
      <c r="Y456" s="227"/>
      <c r="Z456" s="227"/>
    </row>
    <row r="457" spans="7:26" ht="12.75" customHeight="1">
      <c r="G457" s="174"/>
      <c r="N457" s="192"/>
      <c r="O457" s="227"/>
      <c r="P457" s="227"/>
      <c r="Q457" s="227"/>
      <c r="R457" s="227"/>
      <c r="S457" s="227"/>
      <c r="T457" s="227"/>
      <c r="U457" s="227"/>
      <c r="V457" s="227"/>
      <c r="W457" s="227"/>
      <c r="X457" s="227"/>
      <c r="Y457" s="227"/>
      <c r="Z457" s="227"/>
    </row>
    <row r="458" spans="7:26" ht="12.75" customHeight="1">
      <c r="G458" s="174"/>
      <c r="N458" s="192"/>
      <c r="O458" s="227"/>
      <c r="P458" s="227"/>
      <c r="Q458" s="227"/>
      <c r="R458" s="227"/>
      <c r="S458" s="227"/>
      <c r="T458" s="227"/>
      <c r="U458" s="227"/>
      <c r="V458" s="227"/>
      <c r="W458" s="227"/>
      <c r="X458" s="227"/>
      <c r="Y458" s="227"/>
      <c r="Z458" s="227"/>
    </row>
    <row r="459" spans="7:26" ht="12.75" customHeight="1">
      <c r="G459" s="174"/>
      <c r="N459" s="192"/>
      <c r="O459" s="227"/>
      <c r="P459" s="227"/>
      <c r="Q459" s="227"/>
      <c r="R459" s="227"/>
      <c r="S459" s="227"/>
      <c r="T459" s="227"/>
      <c r="U459" s="227"/>
      <c r="V459" s="227"/>
      <c r="W459" s="227"/>
      <c r="X459" s="227"/>
      <c r="Y459" s="227"/>
      <c r="Z459" s="227"/>
    </row>
    <row r="460" spans="7:26" ht="12.75" customHeight="1">
      <c r="G460" s="174"/>
      <c r="N460" s="192"/>
      <c r="O460" s="227"/>
      <c r="P460" s="227"/>
      <c r="Q460" s="227"/>
      <c r="R460" s="227"/>
      <c r="S460" s="227"/>
      <c r="T460" s="227"/>
      <c r="U460" s="227"/>
      <c r="V460" s="227"/>
      <c r="W460" s="227"/>
      <c r="X460" s="227"/>
      <c r="Y460" s="227"/>
      <c r="Z460" s="227"/>
    </row>
    <row r="461" spans="7:26" ht="12.75" customHeight="1">
      <c r="G461" s="174"/>
      <c r="N461" s="192"/>
      <c r="O461" s="227"/>
      <c r="P461" s="227"/>
      <c r="Q461" s="227"/>
      <c r="R461" s="227"/>
      <c r="S461" s="227"/>
      <c r="T461" s="227"/>
      <c r="U461" s="227"/>
      <c r="V461" s="227"/>
      <c r="W461" s="227"/>
      <c r="X461" s="227"/>
      <c r="Y461" s="227"/>
      <c r="Z461" s="227"/>
    </row>
    <row r="462" spans="7:26" ht="12.75" customHeight="1">
      <c r="G462" s="174"/>
      <c r="N462" s="192"/>
      <c r="O462" s="227"/>
      <c r="P462" s="227"/>
      <c r="Q462" s="227"/>
      <c r="R462" s="227"/>
      <c r="S462" s="227"/>
      <c r="T462" s="227"/>
      <c r="U462" s="227"/>
      <c r="V462" s="227"/>
      <c r="W462" s="227"/>
      <c r="X462" s="227"/>
      <c r="Y462" s="227"/>
      <c r="Z462" s="227"/>
    </row>
    <row r="463" spans="7:26" ht="12.75" customHeight="1">
      <c r="G463" s="174"/>
      <c r="N463" s="192"/>
      <c r="O463" s="227"/>
      <c r="P463" s="227"/>
      <c r="Q463" s="227"/>
      <c r="R463" s="227"/>
      <c r="S463" s="227"/>
      <c r="T463" s="227"/>
      <c r="U463" s="227"/>
      <c r="V463" s="227"/>
      <c r="W463" s="227"/>
      <c r="X463" s="227"/>
      <c r="Y463" s="227"/>
      <c r="Z463" s="227"/>
    </row>
    <row r="464" spans="7:26" ht="12.75" customHeight="1">
      <c r="G464" s="174"/>
      <c r="N464" s="192"/>
      <c r="O464" s="227"/>
      <c r="P464" s="227"/>
      <c r="Q464" s="227"/>
      <c r="R464" s="227"/>
      <c r="S464" s="227"/>
      <c r="T464" s="227"/>
      <c r="U464" s="227"/>
      <c r="V464" s="227"/>
      <c r="W464" s="227"/>
      <c r="X464" s="227"/>
      <c r="Y464" s="227"/>
      <c r="Z464" s="227"/>
    </row>
    <row r="465" spans="7:26" ht="12.75" customHeight="1">
      <c r="G465" s="174"/>
      <c r="N465" s="192"/>
      <c r="O465" s="227"/>
      <c r="P465" s="227"/>
      <c r="Q465" s="227"/>
      <c r="R465" s="227"/>
      <c r="S465" s="227"/>
      <c r="T465" s="227"/>
      <c r="U465" s="227"/>
      <c r="V465" s="227"/>
      <c r="W465" s="227"/>
      <c r="X465" s="227"/>
      <c r="Y465" s="227"/>
      <c r="Z465" s="227"/>
    </row>
    <row r="466" spans="7:26" ht="12.75" customHeight="1">
      <c r="G466" s="174"/>
      <c r="N466" s="192"/>
      <c r="O466" s="227"/>
      <c r="P466" s="227"/>
      <c r="Q466" s="227"/>
      <c r="R466" s="227"/>
      <c r="S466" s="227"/>
      <c r="T466" s="227"/>
      <c r="U466" s="227"/>
      <c r="V466" s="227"/>
      <c r="W466" s="227"/>
      <c r="X466" s="227"/>
      <c r="Y466" s="227"/>
      <c r="Z466" s="227"/>
    </row>
    <row r="467" spans="7:26" ht="12.75" customHeight="1">
      <c r="G467" s="174"/>
      <c r="N467" s="192"/>
      <c r="O467" s="227"/>
      <c r="P467" s="227"/>
      <c r="Q467" s="227"/>
      <c r="R467" s="227"/>
      <c r="S467" s="227"/>
      <c r="T467" s="227"/>
      <c r="U467" s="227"/>
      <c r="V467" s="227"/>
      <c r="W467" s="227"/>
      <c r="X467" s="227"/>
      <c r="Y467" s="227"/>
      <c r="Z467" s="227"/>
    </row>
    <row r="468" spans="7:26" ht="12.75" customHeight="1">
      <c r="G468" s="174"/>
      <c r="N468" s="192"/>
      <c r="O468" s="227"/>
      <c r="P468" s="227"/>
      <c r="Q468" s="227"/>
      <c r="R468" s="227"/>
      <c r="S468" s="227"/>
      <c r="T468" s="227"/>
      <c r="U468" s="227"/>
      <c r="V468" s="227"/>
      <c r="W468" s="227"/>
      <c r="X468" s="227"/>
      <c r="Y468" s="227"/>
      <c r="Z468" s="227"/>
    </row>
    <row r="469" spans="7:26" ht="12.75" customHeight="1">
      <c r="G469" s="174"/>
      <c r="N469" s="192"/>
      <c r="O469" s="227"/>
      <c r="P469" s="227"/>
      <c r="Q469" s="227"/>
      <c r="R469" s="227"/>
      <c r="S469" s="227"/>
      <c r="T469" s="227"/>
      <c r="U469" s="227"/>
      <c r="V469" s="227"/>
      <c r="W469" s="227"/>
      <c r="X469" s="227"/>
      <c r="Y469" s="227"/>
      <c r="Z469" s="227"/>
    </row>
    <row r="470" spans="7:26" ht="12.75" customHeight="1">
      <c r="G470" s="174"/>
      <c r="N470" s="192"/>
      <c r="O470" s="227"/>
      <c r="P470" s="227"/>
      <c r="Q470" s="227"/>
      <c r="R470" s="227"/>
      <c r="S470" s="227"/>
      <c r="T470" s="227"/>
      <c r="U470" s="227"/>
      <c r="V470" s="227"/>
      <c r="W470" s="227"/>
      <c r="X470" s="227"/>
      <c r="Y470" s="227"/>
      <c r="Z470" s="227"/>
    </row>
    <row r="471" spans="7:26" ht="12.75" customHeight="1">
      <c r="G471" s="174"/>
      <c r="N471" s="192"/>
      <c r="O471" s="227"/>
      <c r="P471" s="227"/>
      <c r="Q471" s="227"/>
      <c r="R471" s="227"/>
      <c r="S471" s="227"/>
      <c r="T471" s="227"/>
      <c r="U471" s="227"/>
      <c r="V471" s="227"/>
      <c r="W471" s="227"/>
      <c r="X471" s="227"/>
      <c r="Y471" s="227"/>
      <c r="Z471" s="227"/>
    </row>
    <row r="472" spans="7:26" ht="12.75" customHeight="1">
      <c r="G472" s="174"/>
      <c r="N472" s="192"/>
      <c r="O472" s="227"/>
      <c r="P472" s="227"/>
      <c r="Q472" s="227"/>
      <c r="R472" s="227"/>
      <c r="S472" s="227"/>
      <c r="T472" s="227"/>
      <c r="U472" s="227"/>
      <c r="V472" s="227"/>
      <c r="W472" s="227"/>
      <c r="X472" s="227"/>
      <c r="Y472" s="227"/>
      <c r="Z472" s="227"/>
    </row>
    <row r="473" spans="7:26" ht="12.75" customHeight="1">
      <c r="G473" s="174"/>
      <c r="N473" s="192"/>
      <c r="O473" s="227"/>
      <c r="P473" s="227"/>
      <c r="Q473" s="227"/>
      <c r="R473" s="227"/>
      <c r="S473" s="227"/>
      <c r="T473" s="227"/>
      <c r="U473" s="227"/>
      <c r="V473" s="227"/>
      <c r="W473" s="227"/>
      <c r="X473" s="227"/>
      <c r="Y473" s="227"/>
      <c r="Z473" s="227"/>
    </row>
    <row r="474" spans="7:26" ht="12.75" customHeight="1">
      <c r="G474" s="174"/>
      <c r="N474" s="192"/>
      <c r="O474" s="227"/>
      <c r="P474" s="227"/>
      <c r="Q474" s="227"/>
      <c r="R474" s="227"/>
      <c r="S474" s="227"/>
      <c r="T474" s="227"/>
      <c r="U474" s="227"/>
      <c r="V474" s="227"/>
      <c r="W474" s="227"/>
      <c r="X474" s="227"/>
      <c r="Y474" s="227"/>
      <c r="Z474" s="227"/>
    </row>
    <row r="475" spans="7:26" ht="12.75" customHeight="1">
      <c r="G475" s="174"/>
      <c r="N475" s="192"/>
      <c r="O475" s="227"/>
      <c r="P475" s="227"/>
      <c r="Q475" s="227"/>
      <c r="R475" s="227"/>
      <c r="S475" s="227"/>
      <c r="T475" s="227"/>
      <c r="U475" s="227"/>
      <c r="V475" s="227"/>
      <c r="W475" s="227"/>
      <c r="X475" s="227"/>
      <c r="Y475" s="227"/>
      <c r="Z475" s="227"/>
    </row>
    <row r="476" spans="7:26" ht="12.75" customHeight="1">
      <c r="G476" s="174"/>
      <c r="N476" s="192"/>
      <c r="O476" s="227"/>
      <c r="P476" s="227"/>
      <c r="Q476" s="227"/>
      <c r="R476" s="227"/>
      <c r="S476" s="227"/>
      <c r="T476" s="227"/>
      <c r="U476" s="227"/>
      <c r="V476" s="227"/>
      <c r="W476" s="227"/>
      <c r="X476" s="227"/>
      <c r="Y476" s="227"/>
      <c r="Z476" s="227"/>
    </row>
    <row r="477" spans="7:26" ht="12.75" customHeight="1">
      <c r="G477" s="174"/>
      <c r="N477" s="192"/>
      <c r="O477" s="227"/>
      <c r="P477" s="227"/>
      <c r="Q477" s="227"/>
      <c r="R477" s="227"/>
      <c r="S477" s="227"/>
      <c r="T477" s="227"/>
      <c r="U477" s="227"/>
      <c r="V477" s="227"/>
      <c r="W477" s="227"/>
      <c r="X477" s="227"/>
      <c r="Y477" s="227"/>
      <c r="Z477" s="227"/>
    </row>
    <row r="478" spans="7:26" ht="12.75" customHeight="1">
      <c r="G478" s="174"/>
      <c r="N478" s="192"/>
      <c r="O478" s="227"/>
      <c r="P478" s="227"/>
      <c r="Q478" s="227"/>
      <c r="R478" s="227"/>
      <c r="S478" s="227"/>
      <c r="T478" s="227"/>
      <c r="U478" s="227"/>
      <c r="V478" s="227"/>
      <c r="W478" s="227"/>
      <c r="X478" s="227"/>
      <c r="Y478" s="227"/>
      <c r="Z478" s="227"/>
    </row>
    <row r="479" spans="7:26" ht="12.75" customHeight="1">
      <c r="G479" s="174"/>
      <c r="N479" s="192"/>
      <c r="O479" s="227"/>
      <c r="P479" s="227"/>
      <c r="Q479" s="227"/>
      <c r="R479" s="227"/>
      <c r="S479" s="227"/>
      <c r="T479" s="227"/>
      <c r="U479" s="227"/>
      <c r="V479" s="227"/>
      <c r="W479" s="227"/>
      <c r="X479" s="227"/>
      <c r="Y479" s="227"/>
      <c r="Z479" s="227"/>
    </row>
    <row r="480" spans="7:26" ht="12.75" customHeight="1">
      <c r="G480" s="174"/>
      <c r="N480" s="192"/>
      <c r="O480" s="227"/>
      <c r="P480" s="227"/>
      <c r="Q480" s="227"/>
      <c r="R480" s="227"/>
      <c r="S480" s="227"/>
      <c r="T480" s="227"/>
      <c r="U480" s="227"/>
      <c r="V480" s="227"/>
      <c r="W480" s="227"/>
      <c r="X480" s="227"/>
      <c r="Y480" s="227"/>
      <c r="Z480" s="227"/>
    </row>
    <row r="481" spans="7:26" ht="12.75" customHeight="1">
      <c r="G481" s="174"/>
      <c r="N481" s="192"/>
      <c r="O481" s="227"/>
      <c r="P481" s="227"/>
      <c r="Q481" s="227"/>
      <c r="R481" s="227"/>
      <c r="S481" s="227"/>
      <c r="T481" s="227"/>
      <c r="U481" s="227"/>
      <c r="V481" s="227"/>
      <c r="W481" s="227"/>
      <c r="X481" s="227"/>
      <c r="Y481" s="227"/>
      <c r="Z481" s="227"/>
    </row>
    <row r="482" spans="7:26" ht="12.75" customHeight="1">
      <c r="G482" s="174"/>
      <c r="N482" s="192"/>
      <c r="O482" s="227"/>
      <c r="P482" s="227"/>
      <c r="Q482" s="227"/>
      <c r="R482" s="227"/>
      <c r="S482" s="227"/>
      <c r="T482" s="227"/>
      <c r="U482" s="227"/>
      <c r="V482" s="227"/>
      <c r="W482" s="227"/>
      <c r="X482" s="227"/>
      <c r="Y482" s="227"/>
      <c r="Z482" s="227"/>
    </row>
    <row r="483" spans="7:26" ht="12.75" customHeight="1">
      <c r="G483" s="174"/>
      <c r="N483" s="192"/>
      <c r="O483" s="227"/>
      <c r="P483" s="227"/>
      <c r="Q483" s="227"/>
      <c r="R483" s="227"/>
      <c r="S483" s="227"/>
      <c r="T483" s="227"/>
      <c r="U483" s="227"/>
      <c r="V483" s="227"/>
      <c r="W483" s="227"/>
      <c r="X483" s="227"/>
      <c r="Y483" s="227"/>
      <c r="Z483" s="227"/>
    </row>
    <row r="484" spans="7:26" ht="12.75" customHeight="1">
      <c r="G484" s="174"/>
      <c r="N484" s="192"/>
      <c r="O484" s="227"/>
      <c r="P484" s="227"/>
      <c r="Q484" s="227"/>
      <c r="R484" s="227"/>
      <c r="S484" s="227"/>
      <c r="T484" s="227"/>
      <c r="U484" s="227"/>
      <c r="V484" s="227"/>
      <c r="W484" s="227"/>
      <c r="X484" s="227"/>
      <c r="Y484" s="227"/>
      <c r="Z484" s="227"/>
    </row>
    <row r="485" spans="7:26" ht="12.75" customHeight="1">
      <c r="G485" s="174"/>
      <c r="N485" s="192"/>
      <c r="O485" s="227"/>
      <c r="P485" s="227"/>
      <c r="Q485" s="227"/>
      <c r="R485" s="227"/>
      <c r="S485" s="227"/>
      <c r="T485" s="227"/>
      <c r="U485" s="227"/>
      <c r="V485" s="227"/>
      <c r="W485" s="227"/>
      <c r="X485" s="227"/>
      <c r="Y485" s="227"/>
      <c r="Z485" s="227"/>
    </row>
    <row r="486" spans="7:26" ht="12.75" customHeight="1">
      <c r="G486" s="174"/>
      <c r="N486" s="192"/>
      <c r="O486" s="227"/>
      <c r="P486" s="227"/>
      <c r="Q486" s="227"/>
      <c r="R486" s="227"/>
      <c r="S486" s="227"/>
      <c r="T486" s="227"/>
      <c r="U486" s="227"/>
      <c r="V486" s="227"/>
      <c r="W486" s="227"/>
      <c r="X486" s="227"/>
      <c r="Y486" s="227"/>
      <c r="Z486" s="227"/>
    </row>
    <row r="487" spans="7:26" ht="12.75" customHeight="1">
      <c r="G487" s="174"/>
      <c r="N487" s="192"/>
      <c r="O487" s="227"/>
      <c r="P487" s="227"/>
      <c r="Q487" s="227"/>
      <c r="R487" s="227"/>
      <c r="S487" s="227"/>
      <c r="T487" s="227"/>
      <c r="U487" s="227"/>
      <c r="V487" s="227"/>
      <c r="W487" s="227"/>
      <c r="X487" s="227"/>
      <c r="Y487" s="227"/>
      <c r="Z487" s="227"/>
    </row>
    <row r="488" spans="7:26" ht="12.75" customHeight="1">
      <c r="G488" s="174"/>
      <c r="N488" s="192"/>
      <c r="O488" s="227"/>
      <c r="P488" s="227"/>
      <c r="Q488" s="227"/>
      <c r="R488" s="227"/>
      <c r="S488" s="227"/>
      <c r="T488" s="227"/>
      <c r="U488" s="227"/>
      <c r="V488" s="227"/>
      <c r="W488" s="227"/>
      <c r="X488" s="227"/>
      <c r="Y488" s="227"/>
      <c r="Z488" s="227"/>
    </row>
    <row r="489" spans="7:26" ht="12.75" customHeight="1">
      <c r="G489" s="174"/>
      <c r="N489" s="192"/>
      <c r="O489" s="227"/>
      <c r="P489" s="227"/>
      <c r="Q489" s="227"/>
      <c r="R489" s="227"/>
      <c r="S489" s="227"/>
      <c r="T489" s="227"/>
      <c r="U489" s="227"/>
      <c r="V489" s="227"/>
      <c r="W489" s="227"/>
      <c r="X489" s="227"/>
      <c r="Y489" s="227"/>
      <c r="Z489" s="227"/>
    </row>
    <row r="490" spans="7:26" ht="12.75" customHeight="1">
      <c r="G490" s="174"/>
      <c r="N490" s="192"/>
      <c r="O490" s="227"/>
      <c r="P490" s="227"/>
      <c r="Q490" s="227"/>
      <c r="R490" s="227"/>
      <c r="S490" s="227"/>
      <c r="T490" s="227"/>
      <c r="U490" s="227"/>
      <c r="V490" s="227"/>
      <c r="W490" s="227"/>
      <c r="X490" s="227"/>
      <c r="Y490" s="227"/>
      <c r="Z490" s="227"/>
    </row>
    <row r="491" spans="7:26" ht="12.75" customHeight="1">
      <c r="G491" s="174"/>
      <c r="N491" s="192"/>
      <c r="O491" s="227"/>
      <c r="P491" s="227"/>
      <c r="Q491" s="227"/>
      <c r="R491" s="227"/>
      <c r="S491" s="227"/>
      <c r="T491" s="227"/>
      <c r="U491" s="227"/>
      <c r="V491" s="227"/>
      <c r="W491" s="227"/>
      <c r="X491" s="227"/>
      <c r="Y491" s="227"/>
      <c r="Z491" s="227"/>
    </row>
    <row r="492" spans="7:26" ht="12.75" customHeight="1">
      <c r="G492" s="174"/>
      <c r="N492" s="192"/>
      <c r="O492" s="227"/>
      <c r="P492" s="227"/>
      <c r="Q492" s="227"/>
      <c r="R492" s="227"/>
      <c r="S492" s="227"/>
      <c r="T492" s="227"/>
      <c r="U492" s="227"/>
      <c r="V492" s="227"/>
      <c r="W492" s="227"/>
      <c r="X492" s="227"/>
      <c r="Y492" s="227"/>
      <c r="Z492" s="227"/>
    </row>
    <row r="493" spans="7:26" ht="12.75" customHeight="1">
      <c r="G493" s="174"/>
      <c r="N493" s="192"/>
      <c r="O493" s="227"/>
      <c r="P493" s="227"/>
      <c r="Q493" s="227"/>
      <c r="R493" s="227"/>
      <c r="S493" s="227"/>
      <c r="T493" s="227"/>
      <c r="U493" s="227"/>
      <c r="V493" s="227"/>
      <c r="W493" s="227"/>
      <c r="X493" s="227"/>
      <c r="Y493" s="227"/>
      <c r="Z493" s="227"/>
    </row>
    <row r="494" spans="7:26" ht="12.75" customHeight="1">
      <c r="G494" s="174"/>
      <c r="N494" s="192"/>
      <c r="O494" s="227"/>
      <c r="P494" s="227"/>
      <c r="Q494" s="227"/>
      <c r="R494" s="227"/>
      <c r="S494" s="227"/>
      <c r="T494" s="227"/>
      <c r="U494" s="227"/>
      <c r="V494" s="227"/>
      <c r="W494" s="227"/>
      <c r="X494" s="227"/>
      <c r="Y494" s="227"/>
      <c r="Z494" s="227"/>
    </row>
    <row r="495" spans="7:26" ht="12.75" customHeight="1">
      <c r="G495" s="174"/>
      <c r="N495" s="192"/>
      <c r="O495" s="227"/>
      <c r="P495" s="227"/>
      <c r="Q495" s="227"/>
      <c r="R495" s="227"/>
      <c r="S495" s="227"/>
      <c r="T495" s="227"/>
      <c r="U495" s="227"/>
      <c r="V495" s="227"/>
      <c r="W495" s="227"/>
      <c r="X495" s="227"/>
      <c r="Y495" s="227"/>
      <c r="Z495" s="227"/>
    </row>
    <row r="496" spans="7:26" ht="12.75" customHeight="1">
      <c r="G496" s="174"/>
      <c r="N496" s="192"/>
      <c r="O496" s="227"/>
      <c r="P496" s="227"/>
      <c r="Q496" s="227"/>
      <c r="R496" s="227"/>
      <c r="S496" s="227"/>
      <c r="T496" s="227"/>
      <c r="U496" s="227"/>
      <c r="V496" s="227"/>
      <c r="W496" s="227"/>
      <c r="X496" s="227"/>
      <c r="Y496" s="227"/>
      <c r="Z496" s="227"/>
    </row>
    <row r="497" spans="7:26" ht="12.75" customHeight="1">
      <c r="G497" s="174"/>
      <c r="N497" s="192"/>
      <c r="O497" s="227"/>
      <c r="P497" s="227"/>
      <c r="Q497" s="227"/>
      <c r="R497" s="227"/>
      <c r="S497" s="227"/>
      <c r="T497" s="227"/>
      <c r="U497" s="227"/>
      <c r="V497" s="227"/>
      <c r="W497" s="227"/>
      <c r="X497" s="227"/>
      <c r="Y497" s="227"/>
      <c r="Z497" s="227"/>
    </row>
    <row r="498" spans="7:26" ht="12.75" customHeight="1">
      <c r="G498" s="174"/>
      <c r="N498" s="192"/>
      <c r="O498" s="227"/>
      <c r="P498" s="227"/>
      <c r="Q498" s="227"/>
      <c r="R498" s="227"/>
      <c r="S498" s="227"/>
      <c r="T498" s="227"/>
      <c r="U498" s="227"/>
      <c r="V498" s="227"/>
      <c r="W498" s="227"/>
      <c r="X498" s="227"/>
      <c r="Y498" s="227"/>
      <c r="Z498" s="227"/>
    </row>
    <row r="499" spans="7:26" ht="12.75" customHeight="1">
      <c r="G499" s="174"/>
      <c r="N499" s="192"/>
      <c r="O499" s="227"/>
      <c r="P499" s="227"/>
      <c r="Q499" s="227"/>
      <c r="R499" s="227"/>
      <c r="S499" s="227"/>
      <c r="T499" s="227"/>
      <c r="U499" s="227"/>
      <c r="V499" s="227"/>
      <c r="W499" s="227"/>
      <c r="X499" s="227"/>
      <c r="Y499" s="227"/>
      <c r="Z499" s="227"/>
    </row>
    <row r="500" spans="7:26" ht="12.75" customHeight="1">
      <c r="G500" s="174"/>
      <c r="N500" s="192"/>
      <c r="O500" s="227"/>
      <c r="P500" s="227"/>
      <c r="Q500" s="227"/>
      <c r="R500" s="227"/>
      <c r="S500" s="227"/>
      <c r="T500" s="227"/>
      <c r="U500" s="227"/>
      <c r="V500" s="227"/>
      <c r="W500" s="227"/>
      <c r="X500" s="227"/>
      <c r="Y500" s="227"/>
      <c r="Z500" s="227"/>
    </row>
    <row r="501" spans="7:26" ht="12.75" customHeight="1">
      <c r="G501" s="174"/>
      <c r="N501" s="192"/>
      <c r="O501" s="227"/>
      <c r="P501" s="227"/>
      <c r="Q501" s="227"/>
      <c r="R501" s="227"/>
      <c r="S501" s="227"/>
      <c r="T501" s="227"/>
      <c r="U501" s="227"/>
      <c r="V501" s="227"/>
      <c r="W501" s="227"/>
      <c r="X501" s="227"/>
      <c r="Y501" s="227"/>
      <c r="Z501" s="227"/>
    </row>
    <row r="502" spans="7:26" ht="12.75" customHeight="1">
      <c r="G502" s="174"/>
      <c r="N502" s="192"/>
      <c r="O502" s="227"/>
      <c r="P502" s="227"/>
      <c r="Q502" s="227"/>
      <c r="R502" s="227"/>
      <c r="S502" s="227"/>
      <c r="T502" s="227"/>
      <c r="U502" s="227"/>
      <c r="V502" s="227"/>
      <c r="W502" s="227"/>
      <c r="X502" s="227"/>
      <c r="Y502" s="227"/>
      <c r="Z502" s="227"/>
    </row>
    <row r="503" spans="7:26" ht="12.75" customHeight="1">
      <c r="G503" s="174"/>
      <c r="N503" s="192"/>
      <c r="O503" s="227"/>
      <c r="P503" s="227"/>
      <c r="Q503" s="227"/>
      <c r="R503" s="227"/>
      <c r="S503" s="227"/>
      <c r="T503" s="227"/>
      <c r="U503" s="227"/>
      <c r="V503" s="227"/>
      <c r="W503" s="227"/>
      <c r="X503" s="227"/>
      <c r="Y503" s="227"/>
      <c r="Z503" s="227"/>
    </row>
    <row r="504" spans="7:26" ht="12.75" customHeight="1">
      <c r="G504" s="174"/>
      <c r="N504" s="192"/>
      <c r="O504" s="227"/>
      <c r="P504" s="227"/>
      <c r="Q504" s="227"/>
      <c r="R504" s="227"/>
      <c r="S504" s="227"/>
      <c r="T504" s="227"/>
      <c r="U504" s="227"/>
      <c r="V504" s="227"/>
      <c r="W504" s="227"/>
      <c r="X504" s="227"/>
      <c r="Y504" s="227"/>
      <c r="Z504" s="227"/>
    </row>
    <row r="505" spans="7:26" ht="12.75" customHeight="1">
      <c r="G505" s="174"/>
      <c r="N505" s="192"/>
      <c r="O505" s="227"/>
      <c r="P505" s="227"/>
      <c r="Q505" s="227"/>
      <c r="R505" s="227"/>
      <c r="S505" s="227"/>
      <c r="T505" s="227"/>
      <c r="U505" s="227"/>
      <c r="V505" s="227"/>
      <c r="W505" s="227"/>
      <c r="X505" s="227"/>
      <c r="Y505" s="227"/>
      <c r="Z505" s="227"/>
    </row>
    <row r="506" spans="7:26" ht="12.75" customHeight="1">
      <c r="G506" s="174"/>
      <c r="N506" s="192"/>
      <c r="O506" s="227"/>
      <c r="P506" s="227"/>
      <c r="Q506" s="227"/>
      <c r="R506" s="227"/>
      <c r="S506" s="227"/>
      <c r="T506" s="227"/>
      <c r="U506" s="227"/>
      <c r="V506" s="227"/>
      <c r="W506" s="227"/>
      <c r="X506" s="227"/>
      <c r="Y506" s="227"/>
      <c r="Z506" s="227"/>
    </row>
    <row r="507" spans="7:26" ht="12.75" customHeight="1">
      <c r="G507" s="174"/>
      <c r="N507" s="192"/>
      <c r="O507" s="227"/>
      <c r="P507" s="227"/>
      <c r="Q507" s="227"/>
      <c r="R507" s="227"/>
      <c r="S507" s="227"/>
      <c r="T507" s="227"/>
      <c r="U507" s="227"/>
      <c r="V507" s="227"/>
      <c r="W507" s="227"/>
      <c r="X507" s="227"/>
      <c r="Y507" s="227"/>
      <c r="Z507" s="227"/>
    </row>
    <row r="508" spans="7:26" ht="12.75" customHeight="1">
      <c r="G508" s="174"/>
      <c r="N508" s="192"/>
      <c r="O508" s="227"/>
      <c r="P508" s="227"/>
      <c r="Q508" s="227"/>
      <c r="R508" s="227"/>
      <c r="S508" s="227"/>
      <c r="T508" s="227"/>
      <c r="U508" s="227"/>
      <c r="V508" s="227"/>
      <c r="W508" s="227"/>
      <c r="X508" s="227"/>
      <c r="Y508" s="227"/>
      <c r="Z508" s="227"/>
    </row>
    <row r="509" spans="7:26" ht="12.75" customHeight="1">
      <c r="G509" s="174"/>
      <c r="N509" s="192"/>
      <c r="O509" s="227"/>
      <c r="P509" s="227"/>
      <c r="Q509" s="227"/>
      <c r="R509" s="227"/>
      <c r="S509" s="227"/>
      <c r="T509" s="227"/>
      <c r="U509" s="227"/>
      <c r="V509" s="227"/>
      <c r="W509" s="227"/>
      <c r="X509" s="227"/>
      <c r="Y509" s="227"/>
      <c r="Z509" s="227"/>
    </row>
    <row r="510" spans="7:26" ht="12.75" customHeight="1">
      <c r="G510" s="174"/>
      <c r="N510" s="192"/>
      <c r="O510" s="227"/>
      <c r="P510" s="227"/>
      <c r="Q510" s="227"/>
      <c r="R510" s="227"/>
      <c r="S510" s="227"/>
      <c r="T510" s="227"/>
      <c r="U510" s="227"/>
      <c r="V510" s="227"/>
      <c r="W510" s="227"/>
      <c r="X510" s="227"/>
      <c r="Y510" s="227"/>
      <c r="Z510" s="227"/>
    </row>
    <row r="511" spans="7:26" ht="12.75" customHeight="1">
      <c r="G511" s="174"/>
      <c r="N511" s="192"/>
      <c r="O511" s="227"/>
      <c r="P511" s="227"/>
      <c r="Q511" s="227"/>
      <c r="R511" s="227"/>
      <c r="S511" s="227"/>
      <c r="T511" s="227"/>
      <c r="U511" s="227"/>
      <c r="V511" s="227"/>
      <c r="W511" s="227"/>
      <c r="X511" s="227"/>
      <c r="Y511" s="227"/>
      <c r="Z511" s="227"/>
    </row>
    <row r="512" spans="7:26" ht="12.75" customHeight="1">
      <c r="G512" s="174"/>
      <c r="N512" s="192"/>
      <c r="O512" s="227"/>
      <c r="P512" s="227"/>
      <c r="Q512" s="227"/>
      <c r="R512" s="227"/>
      <c r="S512" s="227"/>
      <c r="T512" s="227"/>
      <c r="U512" s="227"/>
      <c r="V512" s="227"/>
      <c r="W512" s="227"/>
      <c r="X512" s="227"/>
      <c r="Y512" s="227"/>
      <c r="Z512" s="227"/>
    </row>
    <row r="513" spans="7:26" ht="12.75" customHeight="1">
      <c r="G513" s="174"/>
      <c r="N513" s="192"/>
      <c r="O513" s="227"/>
      <c r="P513" s="227"/>
      <c r="Q513" s="227"/>
      <c r="R513" s="227"/>
      <c r="S513" s="227"/>
      <c r="T513" s="227"/>
      <c r="U513" s="227"/>
      <c r="V513" s="227"/>
      <c r="W513" s="227"/>
      <c r="X513" s="227"/>
      <c r="Y513" s="227"/>
      <c r="Z513" s="227"/>
    </row>
    <row r="514" spans="7:26" ht="12.75" customHeight="1">
      <c r="G514" s="174"/>
      <c r="N514" s="192"/>
      <c r="O514" s="227"/>
      <c r="P514" s="227"/>
      <c r="Q514" s="227"/>
      <c r="R514" s="227"/>
      <c r="S514" s="227"/>
      <c r="T514" s="227"/>
      <c r="U514" s="227"/>
      <c r="V514" s="227"/>
      <c r="W514" s="227"/>
      <c r="X514" s="227"/>
      <c r="Y514" s="227"/>
      <c r="Z514" s="227"/>
    </row>
    <row r="515" spans="7:26" ht="12.75" customHeight="1">
      <c r="G515" s="174"/>
      <c r="N515" s="192"/>
      <c r="O515" s="227"/>
      <c r="P515" s="227"/>
      <c r="Q515" s="227"/>
      <c r="R515" s="227"/>
      <c r="S515" s="227"/>
      <c r="T515" s="227"/>
      <c r="U515" s="227"/>
      <c r="V515" s="227"/>
      <c r="W515" s="227"/>
      <c r="X515" s="227"/>
      <c r="Y515" s="227"/>
      <c r="Z515" s="227"/>
    </row>
    <row r="516" spans="7:26" ht="12.75" customHeight="1">
      <c r="G516" s="174"/>
      <c r="N516" s="192"/>
      <c r="O516" s="227"/>
      <c r="P516" s="227"/>
      <c r="Q516" s="227"/>
      <c r="R516" s="227"/>
      <c r="S516" s="227"/>
      <c r="T516" s="227"/>
      <c r="U516" s="227"/>
      <c r="V516" s="227"/>
      <c r="W516" s="227"/>
      <c r="X516" s="227"/>
      <c r="Y516" s="227"/>
      <c r="Z516" s="227"/>
    </row>
    <row r="517" spans="7:26" ht="12.75" customHeight="1">
      <c r="G517" s="174"/>
      <c r="N517" s="192"/>
      <c r="O517" s="227"/>
      <c r="P517" s="227"/>
      <c r="Q517" s="227"/>
      <c r="R517" s="227"/>
      <c r="S517" s="227"/>
      <c r="T517" s="227"/>
      <c r="U517" s="227"/>
      <c r="V517" s="227"/>
      <c r="W517" s="227"/>
      <c r="X517" s="227"/>
      <c r="Y517" s="227"/>
      <c r="Z517" s="227"/>
    </row>
    <row r="518" spans="7:26" ht="12.75" customHeight="1">
      <c r="G518" s="174"/>
      <c r="N518" s="192"/>
      <c r="O518" s="227"/>
      <c r="P518" s="227"/>
      <c r="Q518" s="227"/>
      <c r="R518" s="227"/>
      <c r="S518" s="227"/>
      <c r="T518" s="227"/>
      <c r="U518" s="227"/>
      <c r="V518" s="227"/>
      <c r="W518" s="227"/>
      <c r="X518" s="227"/>
      <c r="Y518" s="227"/>
      <c r="Z518" s="227"/>
    </row>
    <row r="519" spans="7:26" ht="12.75" customHeight="1">
      <c r="G519" s="174"/>
      <c r="N519" s="192"/>
      <c r="O519" s="227"/>
      <c r="P519" s="227"/>
      <c r="Q519" s="227"/>
      <c r="R519" s="227"/>
      <c r="S519" s="227"/>
      <c r="T519" s="227"/>
      <c r="U519" s="227"/>
      <c r="V519" s="227"/>
      <c r="W519" s="227"/>
      <c r="X519" s="227"/>
      <c r="Y519" s="227"/>
      <c r="Z519" s="227"/>
    </row>
    <row r="520" spans="7:26" ht="12.75" customHeight="1">
      <c r="G520" s="174"/>
      <c r="N520" s="192"/>
      <c r="O520" s="227"/>
      <c r="P520" s="227"/>
      <c r="Q520" s="227"/>
      <c r="R520" s="227"/>
      <c r="S520" s="227"/>
      <c r="T520" s="227"/>
      <c r="U520" s="227"/>
      <c r="V520" s="227"/>
      <c r="W520" s="227"/>
      <c r="X520" s="227"/>
      <c r="Y520" s="227"/>
      <c r="Z520" s="227"/>
    </row>
    <row r="521" spans="7:26" ht="12.75" customHeight="1">
      <c r="G521" s="174"/>
      <c r="N521" s="192"/>
      <c r="O521" s="227"/>
      <c r="P521" s="227"/>
      <c r="Q521" s="227"/>
      <c r="R521" s="227"/>
      <c r="S521" s="227"/>
      <c r="T521" s="227"/>
      <c r="U521" s="227"/>
      <c r="V521" s="227"/>
      <c r="W521" s="227"/>
      <c r="X521" s="227"/>
      <c r="Y521" s="227"/>
      <c r="Z521" s="227"/>
    </row>
    <row r="522" spans="7:26" ht="12.75" customHeight="1">
      <c r="G522" s="174"/>
      <c r="N522" s="192"/>
      <c r="O522" s="227"/>
      <c r="P522" s="227"/>
      <c r="Q522" s="227"/>
      <c r="R522" s="227"/>
      <c r="S522" s="227"/>
      <c r="T522" s="227"/>
      <c r="U522" s="227"/>
      <c r="V522" s="227"/>
      <c r="W522" s="227"/>
      <c r="X522" s="227"/>
      <c r="Y522" s="227"/>
      <c r="Z522" s="227"/>
    </row>
    <row r="523" spans="7:26" ht="12.75" customHeight="1">
      <c r="G523" s="174"/>
      <c r="N523" s="192"/>
      <c r="O523" s="227"/>
      <c r="P523" s="227"/>
      <c r="Q523" s="227"/>
      <c r="R523" s="227"/>
      <c r="S523" s="227"/>
      <c r="T523" s="227"/>
      <c r="U523" s="227"/>
      <c r="V523" s="227"/>
      <c r="W523" s="227"/>
      <c r="X523" s="227"/>
      <c r="Y523" s="227"/>
      <c r="Z523" s="227"/>
    </row>
    <row r="524" spans="7:26" ht="12.75" customHeight="1">
      <c r="G524" s="174"/>
      <c r="N524" s="192"/>
      <c r="O524" s="227"/>
      <c r="P524" s="227"/>
      <c r="Q524" s="227"/>
      <c r="R524" s="227"/>
      <c r="S524" s="227"/>
      <c r="T524" s="227"/>
      <c r="U524" s="227"/>
      <c r="V524" s="227"/>
      <c r="W524" s="227"/>
      <c r="X524" s="227"/>
      <c r="Y524" s="227"/>
      <c r="Z524" s="227"/>
    </row>
    <row r="525" spans="7:26" ht="12.75" customHeight="1">
      <c r="G525" s="174"/>
      <c r="N525" s="192"/>
      <c r="O525" s="227"/>
      <c r="P525" s="227"/>
      <c r="Q525" s="227"/>
      <c r="R525" s="227"/>
      <c r="S525" s="227"/>
      <c r="T525" s="227"/>
      <c r="U525" s="227"/>
      <c r="V525" s="227"/>
      <c r="W525" s="227"/>
      <c r="X525" s="227"/>
      <c r="Y525" s="227"/>
      <c r="Z525" s="227"/>
    </row>
    <row r="526" spans="7:26" ht="12.75" customHeight="1">
      <c r="G526" s="174"/>
      <c r="N526" s="192"/>
      <c r="O526" s="227"/>
      <c r="P526" s="227"/>
      <c r="Q526" s="227"/>
      <c r="R526" s="227"/>
      <c r="S526" s="227"/>
      <c r="T526" s="227"/>
      <c r="U526" s="227"/>
      <c r="V526" s="227"/>
      <c r="W526" s="227"/>
      <c r="X526" s="227"/>
      <c r="Y526" s="227"/>
      <c r="Z526" s="227"/>
    </row>
    <row r="527" spans="7:26" ht="12.75" customHeight="1">
      <c r="G527" s="174"/>
      <c r="N527" s="192"/>
      <c r="O527" s="227"/>
      <c r="P527" s="227"/>
      <c r="Q527" s="227"/>
      <c r="R527" s="227"/>
      <c r="S527" s="227"/>
      <c r="T527" s="227"/>
      <c r="U527" s="227"/>
      <c r="V527" s="227"/>
      <c r="W527" s="227"/>
      <c r="X527" s="227"/>
      <c r="Y527" s="227"/>
      <c r="Z527" s="227"/>
    </row>
    <row r="528" spans="7:26" ht="12.75" customHeight="1">
      <c r="G528" s="174"/>
      <c r="N528" s="192"/>
      <c r="O528" s="227"/>
      <c r="P528" s="227"/>
      <c r="Q528" s="227"/>
      <c r="R528" s="227"/>
      <c r="S528" s="227"/>
      <c r="T528" s="227"/>
      <c r="U528" s="227"/>
      <c r="V528" s="227"/>
      <c r="W528" s="227"/>
      <c r="X528" s="227"/>
      <c r="Y528" s="227"/>
      <c r="Z528" s="227"/>
    </row>
    <row r="529" spans="7:26" ht="12.75" customHeight="1">
      <c r="G529" s="174"/>
      <c r="N529" s="192"/>
      <c r="O529" s="227"/>
      <c r="P529" s="227"/>
      <c r="Q529" s="227"/>
      <c r="R529" s="227"/>
      <c r="S529" s="227"/>
      <c r="T529" s="227"/>
      <c r="U529" s="227"/>
      <c r="V529" s="227"/>
      <c r="W529" s="227"/>
      <c r="X529" s="227"/>
      <c r="Y529" s="227"/>
      <c r="Z529" s="227"/>
    </row>
    <row r="530" spans="7:26" ht="12.75" customHeight="1">
      <c r="G530" s="174"/>
      <c r="N530" s="192"/>
      <c r="O530" s="227"/>
      <c r="P530" s="227"/>
      <c r="Q530" s="227"/>
      <c r="R530" s="227"/>
      <c r="S530" s="227"/>
      <c r="T530" s="227"/>
      <c r="U530" s="227"/>
      <c r="V530" s="227"/>
      <c r="W530" s="227"/>
      <c r="X530" s="227"/>
      <c r="Y530" s="227"/>
      <c r="Z530" s="227"/>
    </row>
    <row r="531" spans="7:26" ht="12.75" customHeight="1">
      <c r="G531" s="174"/>
      <c r="N531" s="192"/>
      <c r="O531" s="227"/>
      <c r="P531" s="227"/>
      <c r="Q531" s="227"/>
      <c r="R531" s="227"/>
      <c r="S531" s="227"/>
      <c r="T531" s="227"/>
      <c r="U531" s="227"/>
      <c r="V531" s="227"/>
      <c r="W531" s="227"/>
      <c r="X531" s="227"/>
      <c r="Y531" s="227"/>
      <c r="Z531" s="227"/>
    </row>
    <row r="532" spans="7:26" ht="12.75" customHeight="1">
      <c r="G532" s="174"/>
      <c r="N532" s="192"/>
      <c r="O532" s="227"/>
      <c r="P532" s="227"/>
      <c r="Q532" s="227"/>
      <c r="R532" s="227"/>
      <c r="S532" s="227"/>
      <c r="T532" s="227"/>
      <c r="U532" s="227"/>
      <c r="V532" s="227"/>
      <c r="W532" s="227"/>
      <c r="X532" s="227"/>
      <c r="Y532" s="227"/>
      <c r="Z532" s="227"/>
    </row>
    <row r="533" spans="7:26" ht="12.75" customHeight="1">
      <c r="G533" s="174"/>
      <c r="N533" s="192"/>
      <c r="O533" s="227"/>
      <c r="P533" s="227"/>
      <c r="Q533" s="227"/>
      <c r="R533" s="227"/>
      <c r="S533" s="227"/>
      <c r="T533" s="227"/>
      <c r="U533" s="227"/>
      <c r="V533" s="227"/>
      <c r="W533" s="227"/>
      <c r="X533" s="227"/>
      <c r="Y533" s="227"/>
      <c r="Z533" s="227"/>
    </row>
    <row r="534" spans="7:26" ht="12.75" customHeight="1">
      <c r="G534" s="174"/>
      <c r="N534" s="192"/>
      <c r="O534" s="227"/>
      <c r="P534" s="227"/>
      <c r="Q534" s="227"/>
      <c r="R534" s="227"/>
      <c r="S534" s="227"/>
      <c r="T534" s="227"/>
      <c r="U534" s="227"/>
      <c r="V534" s="227"/>
      <c r="W534" s="227"/>
      <c r="X534" s="227"/>
      <c r="Y534" s="227"/>
      <c r="Z534" s="227"/>
    </row>
    <row r="535" spans="7:26" ht="12.75" customHeight="1">
      <c r="G535" s="174"/>
      <c r="N535" s="192"/>
      <c r="O535" s="227"/>
      <c r="P535" s="227"/>
      <c r="Q535" s="227"/>
      <c r="R535" s="227"/>
      <c r="S535" s="227"/>
      <c r="T535" s="227"/>
      <c r="U535" s="227"/>
      <c r="V535" s="227"/>
      <c r="W535" s="227"/>
      <c r="X535" s="227"/>
      <c r="Y535" s="227"/>
      <c r="Z535" s="227"/>
    </row>
    <row r="536" spans="7:26" ht="12.75" customHeight="1">
      <c r="G536" s="174"/>
      <c r="N536" s="192"/>
      <c r="O536" s="227"/>
      <c r="P536" s="227"/>
      <c r="Q536" s="227"/>
      <c r="R536" s="227"/>
      <c r="S536" s="227"/>
      <c r="T536" s="227"/>
      <c r="U536" s="227"/>
      <c r="V536" s="227"/>
      <c r="W536" s="227"/>
      <c r="X536" s="227"/>
      <c r="Y536" s="227"/>
      <c r="Z536" s="227"/>
    </row>
    <row r="537" spans="7:26" ht="12.75" customHeight="1">
      <c r="G537" s="174"/>
      <c r="N537" s="192"/>
      <c r="O537" s="227"/>
      <c r="P537" s="227"/>
      <c r="Q537" s="227"/>
      <c r="R537" s="227"/>
      <c r="S537" s="227"/>
      <c r="T537" s="227"/>
      <c r="U537" s="227"/>
      <c r="V537" s="227"/>
      <c r="W537" s="227"/>
      <c r="X537" s="227"/>
      <c r="Y537" s="227"/>
      <c r="Z537" s="227"/>
    </row>
    <row r="538" spans="7:26" ht="12.75" customHeight="1">
      <c r="G538" s="174"/>
      <c r="N538" s="192"/>
      <c r="O538" s="227"/>
      <c r="P538" s="227"/>
      <c r="Q538" s="227"/>
      <c r="R538" s="227"/>
      <c r="S538" s="227"/>
      <c r="T538" s="227"/>
      <c r="U538" s="227"/>
      <c r="V538" s="227"/>
      <c r="W538" s="227"/>
      <c r="X538" s="227"/>
      <c r="Y538" s="227"/>
      <c r="Z538" s="227"/>
    </row>
    <row r="539" spans="7:26" ht="12.75" customHeight="1">
      <c r="G539" s="174"/>
      <c r="N539" s="192"/>
      <c r="O539" s="227"/>
      <c r="P539" s="227"/>
      <c r="Q539" s="227"/>
      <c r="R539" s="227"/>
      <c r="S539" s="227"/>
      <c r="T539" s="227"/>
      <c r="U539" s="227"/>
      <c r="V539" s="227"/>
      <c r="W539" s="227"/>
      <c r="X539" s="227"/>
      <c r="Y539" s="227"/>
      <c r="Z539" s="227"/>
    </row>
    <row r="540" spans="7:26" ht="12.75" customHeight="1">
      <c r="G540" s="174"/>
      <c r="N540" s="192"/>
      <c r="O540" s="227"/>
      <c r="P540" s="227"/>
      <c r="Q540" s="227"/>
      <c r="R540" s="227"/>
      <c r="S540" s="227"/>
      <c r="T540" s="227"/>
      <c r="U540" s="227"/>
      <c r="V540" s="227"/>
      <c r="W540" s="227"/>
      <c r="X540" s="227"/>
      <c r="Y540" s="227"/>
      <c r="Z540" s="227"/>
    </row>
    <row r="541" spans="7:26" ht="12.75" customHeight="1">
      <c r="G541" s="174"/>
      <c r="N541" s="192"/>
      <c r="O541" s="227"/>
      <c r="P541" s="227"/>
      <c r="Q541" s="227"/>
      <c r="R541" s="227"/>
      <c r="S541" s="227"/>
      <c r="T541" s="227"/>
      <c r="U541" s="227"/>
      <c r="V541" s="227"/>
      <c r="W541" s="227"/>
      <c r="X541" s="227"/>
      <c r="Y541" s="227"/>
      <c r="Z541" s="227"/>
    </row>
    <row r="542" spans="7:26" ht="12.75" customHeight="1">
      <c r="G542" s="174"/>
      <c r="N542" s="192"/>
      <c r="O542" s="227"/>
      <c r="P542" s="227"/>
      <c r="Q542" s="227"/>
      <c r="R542" s="227"/>
      <c r="S542" s="227"/>
      <c r="T542" s="227"/>
      <c r="U542" s="227"/>
      <c r="V542" s="227"/>
      <c r="W542" s="227"/>
      <c r="X542" s="227"/>
      <c r="Y542" s="227"/>
      <c r="Z542" s="227"/>
    </row>
    <row r="543" spans="7:26" ht="12.75" customHeight="1">
      <c r="G543" s="174"/>
      <c r="N543" s="192"/>
      <c r="O543" s="227"/>
      <c r="P543" s="227"/>
      <c r="Q543" s="227"/>
      <c r="R543" s="227"/>
      <c r="S543" s="227"/>
      <c r="T543" s="227"/>
      <c r="U543" s="227"/>
      <c r="V543" s="227"/>
      <c r="W543" s="227"/>
      <c r="X543" s="227"/>
      <c r="Y543" s="227"/>
      <c r="Z543" s="227"/>
    </row>
    <row r="544" spans="7:26" ht="12.75" customHeight="1">
      <c r="G544" s="174"/>
      <c r="N544" s="192"/>
      <c r="O544" s="227"/>
      <c r="P544" s="227"/>
      <c r="Q544" s="227"/>
      <c r="R544" s="227"/>
      <c r="S544" s="227"/>
      <c r="T544" s="227"/>
      <c r="U544" s="227"/>
      <c r="V544" s="227"/>
      <c r="W544" s="227"/>
      <c r="X544" s="227"/>
      <c r="Y544" s="227"/>
      <c r="Z544" s="227"/>
    </row>
    <row r="545" spans="7:26" ht="12.75" customHeight="1">
      <c r="G545" s="174"/>
      <c r="N545" s="192"/>
      <c r="O545" s="227"/>
      <c r="P545" s="227"/>
      <c r="Q545" s="227"/>
      <c r="R545" s="227"/>
      <c r="S545" s="227"/>
      <c r="T545" s="227"/>
      <c r="U545" s="227"/>
      <c r="V545" s="227"/>
      <c r="W545" s="227"/>
      <c r="X545" s="227"/>
      <c r="Y545" s="227"/>
      <c r="Z545" s="227"/>
    </row>
    <row r="546" spans="7:26" ht="12.75" customHeight="1">
      <c r="G546" s="174"/>
      <c r="N546" s="192"/>
      <c r="O546" s="227"/>
      <c r="P546" s="227"/>
      <c r="Q546" s="227"/>
      <c r="R546" s="227"/>
      <c r="S546" s="227"/>
      <c r="T546" s="227"/>
      <c r="U546" s="227"/>
      <c r="V546" s="227"/>
      <c r="W546" s="227"/>
      <c r="X546" s="227"/>
      <c r="Y546" s="227"/>
      <c r="Z546" s="227"/>
    </row>
    <row r="547" spans="7:26" ht="12.75" customHeight="1">
      <c r="G547" s="174"/>
      <c r="N547" s="192"/>
      <c r="O547" s="227"/>
      <c r="P547" s="227"/>
      <c r="Q547" s="227"/>
      <c r="R547" s="227"/>
      <c r="S547" s="227"/>
      <c r="T547" s="227"/>
      <c r="U547" s="227"/>
      <c r="V547" s="227"/>
      <c r="W547" s="227"/>
      <c r="X547" s="227"/>
      <c r="Y547" s="227"/>
      <c r="Z547" s="227"/>
    </row>
    <row r="548" spans="7:26" ht="12.75" customHeight="1">
      <c r="G548" s="174"/>
      <c r="N548" s="192"/>
      <c r="O548" s="227"/>
      <c r="P548" s="227"/>
      <c r="Q548" s="227"/>
      <c r="R548" s="227"/>
      <c r="S548" s="227"/>
      <c r="T548" s="227"/>
      <c r="U548" s="227"/>
      <c r="V548" s="227"/>
      <c r="W548" s="227"/>
      <c r="X548" s="227"/>
      <c r="Y548" s="227"/>
      <c r="Z548" s="227"/>
    </row>
    <row r="549" spans="7:26" ht="12.75" customHeight="1">
      <c r="G549" s="174"/>
      <c r="N549" s="192"/>
      <c r="O549" s="227"/>
      <c r="P549" s="227"/>
      <c r="Q549" s="227"/>
      <c r="R549" s="227"/>
      <c r="S549" s="227"/>
      <c r="T549" s="227"/>
      <c r="U549" s="227"/>
      <c r="V549" s="227"/>
      <c r="W549" s="227"/>
      <c r="X549" s="227"/>
      <c r="Y549" s="227"/>
      <c r="Z549" s="227"/>
    </row>
    <row r="550" spans="7:26" ht="12.75" customHeight="1">
      <c r="G550" s="174"/>
      <c r="N550" s="192"/>
      <c r="O550" s="227"/>
      <c r="P550" s="227"/>
      <c r="Q550" s="227"/>
      <c r="R550" s="227"/>
      <c r="S550" s="227"/>
      <c r="T550" s="227"/>
      <c r="U550" s="227"/>
      <c r="V550" s="227"/>
      <c r="W550" s="227"/>
      <c r="X550" s="227"/>
      <c r="Y550" s="227"/>
      <c r="Z550" s="227"/>
    </row>
    <row r="551" spans="7:26" ht="12.75" customHeight="1">
      <c r="G551" s="174"/>
      <c r="N551" s="192"/>
      <c r="O551" s="227"/>
      <c r="P551" s="227"/>
      <c r="Q551" s="227"/>
      <c r="R551" s="227"/>
      <c r="S551" s="227"/>
      <c r="T551" s="227"/>
      <c r="U551" s="227"/>
      <c r="V551" s="227"/>
      <c r="W551" s="227"/>
      <c r="X551" s="227"/>
      <c r="Y551" s="227"/>
      <c r="Z551" s="227"/>
    </row>
    <row r="552" spans="7:26" ht="12.75" customHeight="1">
      <c r="G552" s="174"/>
      <c r="N552" s="192"/>
      <c r="O552" s="227"/>
      <c r="P552" s="227"/>
      <c r="Q552" s="227"/>
      <c r="R552" s="227"/>
      <c r="S552" s="227"/>
      <c r="T552" s="227"/>
      <c r="U552" s="227"/>
      <c r="V552" s="227"/>
      <c r="W552" s="227"/>
      <c r="X552" s="227"/>
      <c r="Y552" s="227"/>
      <c r="Z552" s="227"/>
    </row>
    <row r="553" spans="7:26" ht="12.75" customHeight="1">
      <c r="G553" s="174"/>
      <c r="N553" s="192"/>
      <c r="O553" s="227"/>
      <c r="P553" s="227"/>
      <c r="Q553" s="227"/>
      <c r="R553" s="227"/>
      <c r="S553" s="227"/>
      <c r="T553" s="227"/>
      <c r="U553" s="227"/>
      <c r="V553" s="227"/>
      <c r="W553" s="227"/>
      <c r="X553" s="227"/>
      <c r="Y553" s="227"/>
      <c r="Z553" s="227"/>
    </row>
    <row r="554" spans="7:26" ht="12.75" customHeight="1">
      <c r="G554" s="174"/>
      <c r="N554" s="192"/>
      <c r="O554" s="227"/>
      <c r="P554" s="227"/>
      <c r="Q554" s="227"/>
      <c r="R554" s="227"/>
      <c r="S554" s="227"/>
      <c r="T554" s="227"/>
      <c r="U554" s="227"/>
      <c r="V554" s="227"/>
      <c r="W554" s="227"/>
      <c r="X554" s="227"/>
      <c r="Y554" s="227"/>
      <c r="Z554" s="227"/>
    </row>
    <row r="555" spans="7:26" ht="12.75" customHeight="1">
      <c r="G555" s="174"/>
      <c r="N555" s="192"/>
      <c r="O555" s="227"/>
      <c r="P555" s="227"/>
      <c r="Q555" s="227"/>
      <c r="R555" s="227"/>
      <c r="S555" s="227"/>
      <c r="T555" s="227"/>
      <c r="U555" s="227"/>
      <c r="V555" s="227"/>
      <c r="W555" s="227"/>
      <c r="X555" s="227"/>
      <c r="Y555" s="227"/>
      <c r="Z555" s="227"/>
    </row>
    <row r="556" spans="7:26" ht="12.75" customHeight="1">
      <c r="G556" s="174"/>
      <c r="N556" s="192"/>
      <c r="O556" s="227"/>
      <c r="P556" s="227"/>
      <c r="Q556" s="227"/>
      <c r="R556" s="227"/>
      <c r="S556" s="227"/>
      <c r="T556" s="227"/>
      <c r="U556" s="227"/>
      <c r="V556" s="227"/>
      <c r="W556" s="227"/>
      <c r="X556" s="227"/>
      <c r="Y556" s="227"/>
      <c r="Z556" s="227"/>
    </row>
    <row r="557" spans="7:26" ht="12.75" customHeight="1">
      <c r="G557" s="174"/>
      <c r="N557" s="192"/>
      <c r="O557" s="227"/>
      <c r="P557" s="227"/>
      <c r="Q557" s="227"/>
      <c r="R557" s="227"/>
      <c r="S557" s="227"/>
      <c r="T557" s="227"/>
      <c r="U557" s="227"/>
      <c r="V557" s="227"/>
      <c r="W557" s="227"/>
      <c r="X557" s="227"/>
      <c r="Y557" s="227"/>
      <c r="Z557" s="227"/>
    </row>
    <row r="558" spans="7:26" ht="12.75" customHeight="1">
      <c r="G558" s="174"/>
      <c r="N558" s="192"/>
      <c r="O558" s="227"/>
      <c r="P558" s="227"/>
      <c r="Q558" s="227"/>
      <c r="R558" s="227"/>
      <c r="S558" s="227"/>
      <c r="T558" s="227"/>
      <c r="U558" s="227"/>
      <c r="V558" s="227"/>
      <c r="W558" s="227"/>
      <c r="X558" s="227"/>
      <c r="Y558" s="227"/>
      <c r="Z558" s="227"/>
    </row>
    <row r="559" spans="7:26" ht="12.75" customHeight="1">
      <c r="G559" s="174"/>
      <c r="N559" s="192"/>
      <c r="O559" s="227"/>
      <c r="P559" s="227"/>
      <c r="Q559" s="227"/>
      <c r="R559" s="227"/>
      <c r="S559" s="227"/>
      <c r="T559" s="227"/>
      <c r="U559" s="227"/>
      <c r="V559" s="227"/>
      <c r="W559" s="227"/>
      <c r="X559" s="227"/>
      <c r="Y559" s="227"/>
      <c r="Z559" s="227"/>
    </row>
    <row r="560" spans="7:26" ht="12.75" customHeight="1">
      <c r="G560" s="174"/>
      <c r="N560" s="192"/>
      <c r="O560" s="227"/>
      <c r="P560" s="227"/>
      <c r="Q560" s="227"/>
      <c r="R560" s="227"/>
      <c r="S560" s="227"/>
      <c r="T560" s="227"/>
      <c r="U560" s="227"/>
      <c r="V560" s="227"/>
      <c r="W560" s="227"/>
      <c r="X560" s="227"/>
      <c r="Y560" s="227"/>
      <c r="Z560" s="227"/>
    </row>
    <row r="561" spans="7:26" ht="12.75" customHeight="1">
      <c r="G561" s="174"/>
      <c r="N561" s="192"/>
      <c r="O561" s="227"/>
      <c r="P561" s="227"/>
      <c r="Q561" s="227"/>
      <c r="R561" s="227"/>
      <c r="S561" s="227"/>
      <c r="T561" s="227"/>
      <c r="U561" s="227"/>
      <c r="V561" s="227"/>
      <c r="W561" s="227"/>
      <c r="X561" s="227"/>
      <c r="Y561" s="227"/>
      <c r="Z561" s="227"/>
    </row>
    <row r="562" spans="7:26" ht="12.75" customHeight="1">
      <c r="G562" s="174"/>
      <c r="N562" s="192"/>
      <c r="O562" s="227"/>
      <c r="P562" s="227"/>
      <c r="Q562" s="227"/>
      <c r="R562" s="227"/>
      <c r="S562" s="227"/>
      <c r="T562" s="227"/>
      <c r="U562" s="227"/>
      <c r="V562" s="227"/>
      <c r="W562" s="227"/>
      <c r="X562" s="227"/>
      <c r="Y562" s="227"/>
      <c r="Z562" s="227"/>
    </row>
    <row r="563" spans="7:26" ht="12.75" customHeight="1">
      <c r="G563" s="174"/>
      <c r="N563" s="192"/>
      <c r="O563" s="227"/>
      <c r="P563" s="227"/>
      <c r="Q563" s="227"/>
      <c r="R563" s="227"/>
      <c r="S563" s="227"/>
      <c r="T563" s="227"/>
      <c r="U563" s="227"/>
      <c r="V563" s="227"/>
      <c r="W563" s="227"/>
      <c r="X563" s="227"/>
      <c r="Y563" s="227"/>
      <c r="Z563" s="227"/>
    </row>
    <row r="564" spans="7:26" ht="12.75" customHeight="1">
      <c r="G564" s="174"/>
      <c r="N564" s="192"/>
      <c r="O564" s="227"/>
      <c r="P564" s="227"/>
      <c r="Q564" s="227"/>
      <c r="R564" s="227"/>
      <c r="S564" s="227"/>
      <c r="T564" s="227"/>
      <c r="U564" s="227"/>
      <c r="V564" s="227"/>
      <c r="W564" s="227"/>
      <c r="X564" s="227"/>
      <c r="Y564" s="227"/>
      <c r="Z564" s="227"/>
    </row>
    <row r="565" spans="7:26" ht="12.75" customHeight="1">
      <c r="G565" s="174"/>
      <c r="N565" s="192"/>
      <c r="O565" s="227"/>
      <c r="P565" s="227"/>
      <c r="Q565" s="227"/>
      <c r="R565" s="227"/>
      <c r="S565" s="227"/>
      <c r="T565" s="227"/>
      <c r="U565" s="227"/>
      <c r="V565" s="227"/>
      <c r="W565" s="227"/>
      <c r="X565" s="227"/>
      <c r="Y565" s="227"/>
      <c r="Z565" s="227"/>
    </row>
    <row r="566" spans="7:26" ht="12.75" customHeight="1">
      <c r="G566" s="174"/>
      <c r="N566" s="192"/>
      <c r="O566" s="227"/>
      <c r="P566" s="227"/>
      <c r="Q566" s="227"/>
      <c r="R566" s="227"/>
      <c r="S566" s="227"/>
      <c r="T566" s="227"/>
      <c r="U566" s="227"/>
      <c r="V566" s="227"/>
      <c r="W566" s="227"/>
      <c r="X566" s="227"/>
      <c r="Y566" s="227"/>
      <c r="Z566" s="227"/>
    </row>
    <row r="567" spans="7:26" ht="12.75" customHeight="1">
      <c r="G567" s="174"/>
      <c r="N567" s="192"/>
      <c r="O567" s="227"/>
      <c r="P567" s="227"/>
      <c r="Q567" s="227"/>
      <c r="R567" s="227"/>
      <c r="S567" s="227"/>
      <c r="T567" s="227"/>
      <c r="U567" s="227"/>
      <c r="V567" s="227"/>
      <c r="W567" s="227"/>
      <c r="X567" s="227"/>
      <c r="Y567" s="227"/>
      <c r="Z567" s="227"/>
    </row>
    <row r="568" spans="7:26" ht="12.75" customHeight="1">
      <c r="G568" s="174"/>
      <c r="N568" s="192"/>
      <c r="O568" s="227"/>
      <c r="P568" s="227"/>
      <c r="Q568" s="227"/>
      <c r="R568" s="227"/>
      <c r="S568" s="227"/>
      <c r="T568" s="227"/>
      <c r="U568" s="227"/>
      <c r="V568" s="227"/>
      <c r="W568" s="227"/>
      <c r="X568" s="227"/>
      <c r="Y568" s="227"/>
      <c r="Z568" s="227"/>
    </row>
    <row r="569" spans="7:26" ht="12.75" customHeight="1">
      <c r="G569" s="174"/>
      <c r="N569" s="192"/>
      <c r="O569" s="227"/>
      <c r="P569" s="227"/>
      <c r="Q569" s="227"/>
      <c r="R569" s="227"/>
      <c r="S569" s="227"/>
      <c r="T569" s="227"/>
      <c r="U569" s="227"/>
      <c r="V569" s="227"/>
      <c r="W569" s="227"/>
      <c r="X569" s="227"/>
      <c r="Y569" s="227"/>
      <c r="Z569" s="227"/>
    </row>
    <row r="570" spans="7:26" ht="12.75" customHeight="1">
      <c r="G570" s="174"/>
      <c r="N570" s="192"/>
      <c r="O570" s="227"/>
      <c r="P570" s="227"/>
      <c r="Q570" s="227"/>
      <c r="R570" s="227"/>
      <c r="S570" s="227"/>
      <c r="T570" s="227"/>
      <c r="U570" s="227"/>
      <c r="V570" s="227"/>
      <c r="W570" s="227"/>
      <c r="X570" s="227"/>
      <c r="Y570" s="227"/>
      <c r="Z570" s="227"/>
    </row>
    <row r="571" spans="7:26" ht="12.75" customHeight="1">
      <c r="G571" s="174"/>
      <c r="N571" s="192"/>
      <c r="O571" s="227"/>
      <c r="P571" s="227"/>
      <c r="Q571" s="227"/>
      <c r="R571" s="227"/>
      <c r="S571" s="227"/>
      <c r="T571" s="227"/>
      <c r="U571" s="227"/>
      <c r="V571" s="227"/>
      <c r="W571" s="227"/>
      <c r="X571" s="227"/>
      <c r="Y571" s="227"/>
      <c r="Z571" s="227"/>
    </row>
    <row r="572" spans="7:26" ht="12.75" customHeight="1">
      <c r="G572" s="174"/>
      <c r="N572" s="192"/>
      <c r="O572" s="227"/>
      <c r="P572" s="227"/>
      <c r="Q572" s="227"/>
      <c r="R572" s="227"/>
      <c r="S572" s="227"/>
      <c r="T572" s="227"/>
      <c r="U572" s="227"/>
      <c r="V572" s="227"/>
      <c r="W572" s="227"/>
      <c r="X572" s="227"/>
      <c r="Y572" s="227"/>
      <c r="Z572" s="227"/>
    </row>
    <row r="573" spans="7:26" ht="12.75" customHeight="1">
      <c r="G573" s="174"/>
      <c r="N573" s="192"/>
      <c r="O573" s="227"/>
      <c r="P573" s="227"/>
      <c r="Q573" s="227"/>
      <c r="R573" s="227"/>
      <c r="S573" s="227"/>
      <c r="T573" s="227"/>
      <c r="U573" s="227"/>
      <c r="V573" s="227"/>
      <c r="W573" s="227"/>
      <c r="X573" s="227"/>
      <c r="Y573" s="227"/>
      <c r="Z573" s="227"/>
    </row>
    <row r="574" spans="7:26" ht="12.75" customHeight="1">
      <c r="G574" s="174"/>
      <c r="N574" s="192"/>
      <c r="O574" s="227"/>
      <c r="P574" s="227"/>
      <c r="Q574" s="227"/>
      <c r="R574" s="227"/>
      <c r="S574" s="227"/>
      <c r="T574" s="227"/>
      <c r="U574" s="227"/>
      <c r="V574" s="227"/>
      <c r="W574" s="227"/>
      <c r="X574" s="227"/>
      <c r="Y574" s="227"/>
      <c r="Z574" s="227"/>
    </row>
    <row r="575" spans="7:26" ht="12.75" customHeight="1">
      <c r="G575" s="174"/>
      <c r="N575" s="192"/>
      <c r="O575" s="227"/>
      <c r="P575" s="227"/>
      <c r="Q575" s="227"/>
      <c r="R575" s="227"/>
      <c r="S575" s="227"/>
      <c r="T575" s="227"/>
      <c r="U575" s="227"/>
      <c r="V575" s="227"/>
      <c r="W575" s="227"/>
      <c r="X575" s="227"/>
      <c r="Y575" s="227"/>
      <c r="Z575" s="227"/>
    </row>
    <row r="576" spans="7:26" ht="12.75" customHeight="1">
      <c r="G576" s="174"/>
      <c r="N576" s="192"/>
      <c r="O576" s="227"/>
      <c r="P576" s="227"/>
      <c r="Q576" s="227"/>
      <c r="R576" s="227"/>
      <c r="S576" s="227"/>
      <c r="T576" s="227"/>
      <c r="U576" s="227"/>
      <c r="V576" s="227"/>
      <c r="W576" s="227"/>
      <c r="X576" s="227"/>
      <c r="Y576" s="227"/>
      <c r="Z576" s="227"/>
    </row>
    <row r="577" spans="7:26" ht="12.75" customHeight="1">
      <c r="G577" s="174"/>
      <c r="N577" s="192"/>
      <c r="O577" s="227"/>
      <c r="P577" s="227"/>
      <c r="Q577" s="227"/>
      <c r="R577" s="227"/>
      <c r="S577" s="227"/>
      <c r="T577" s="227"/>
      <c r="U577" s="227"/>
      <c r="V577" s="227"/>
      <c r="W577" s="227"/>
      <c r="X577" s="227"/>
      <c r="Y577" s="227"/>
      <c r="Z577" s="227"/>
    </row>
    <row r="578" spans="7:26" ht="12.75" customHeight="1">
      <c r="G578" s="174"/>
      <c r="N578" s="192"/>
      <c r="O578" s="227"/>
      <c r="P578" s="227"/>
      <c r="Q578" s="227"/>
      <c r="R578" s="227"/>
      <c r="S578" s="227"/>
      <c r="T578" s="227"/>
      <c r="U578" s="227"/>
      <c r="V578" s="227"/>
      <c r="W578" s="227"/>
      <c r="X578" s="227"/>
      <c r="Y578" s="227"/>
      <c r="Z578" s="227"/>
    </row>
    <row r="579" spans="7:26" ht="12.75" customHeight="1">
      <c r="G579" s="174"/>
      <c r="N579" s="192"/>
      <c r="O579" s="227"/>
      <c r="P579" s="227"/>
      <c r="Q579" s="227"/>
      <c r="R579" s="227"/>
      <c r="S579" s="227"/>
      <c r="T579" s="227"/>
      <c r="U579" s="227"/>
      <c r="V579" s="227"/>
      <c r="W579" s="227"/>
      <c r="X579" s="227"/>
      <c r="Y579" s="227"/>
      <c r="Z579" s="227"/>
    </row>
    <row r="580" spans="7:26" ht="12.75" customHeight="1">
      <c r="G580" s="174"/>
      <c r="N580" s="192"/>
      <c r="O580" s="227"/>
      <c r="P580" s="227"/>
      <c r="Q580" s="227"/>
      <c r="R580" s="227"/>
      <c r="S580" s="227"/>
      <c r="T580" s="227"/>
      <c r="U580" s="227"/>
      <c r="V580" s="227"/>
      <c r="W580" s="227"/>
      <c r="X580" s="227"/>
      <c r="Y580" s="227"/>
      <c r="Z580" s="227"/>
    </row>
    <row r="581" spans="7:26" ht="12.75" customHeight="1">
      <c r="G581" s="174"/>
      <c r="N581" s="192"/>
      <c r="O581" s="227"/>
      <c r="P581" s="227"/>
      <c r="Q581" s="227"/>
      <c r="R581" s="227"/>
      <c r="S581" s="227"/>
      <c r="T581" s="227"/>
      <c r="U581" s="227"/>
      <c r="V581" s="227"/>
      <c r="W581" s="227"/>
      <c r="X581" s="227"/>
      <c r="Y581" s="227"/>
      <c r="Z581" s="227"/>
    </row>
    <row r="582" spans="7:26" ht="12.75" customHeight="1">
      <c r="G582" s="174"/>
      <c r="N582" s="192"/>
      <c r="O582" s="227"/>
      <c r="P582" s="227"/>
      <c r="Q582" s="227"/>
      <c r="R582" s="227"/>
      <c r="S582" s="227"/>
      <c r="T582" s="227"/>
      <c r="U582" s="227"/>
      <c r="V582" s="227"/>
      <c r="W582" s="227"/>
      <c r="X582" s="227"/>
      <c r="Y582" s="227"/>
      <c r="Z582" s="227"/>
    </row>
    <row r="583" spans="7:26" ht="12.75" customHeight="1">
      <c r="G583" s="174"/>
      <c r="N583" s="192"/>
      <c r="O583" s="227"/>
      <c r="P583" s="227"/>
      <c r="Q583" s="227"/>
      <c r="R583" s="227"/>
      <c r="S583" s="227"/>
      <c r="T583" s="227"/>
      <c r="U583" s="227"/>
      <c r="V583" s="227"/>
      <c r="W583" s="227"/>
      <c r="X583" s="227"/>
      <c r="Y583" s="227"/>
      <c r="Z583" s="227"/>
    </row>
    <row r="584" spans="7:26" ht="12.75" customHeight="1">
      <c r="G584" s="174"/>
      <c r="N584" s="192"/>
      <c r="O584" s="227"/>
      <c r="P584" s="227"/>
      <c r="Q584" s="227"/>
      <c r="R584" s="227"/>
      <c r="S584" s="227"/>
      <c r="T584" s="227"/>
      <c r="U584" s="227"/>
      <c r="V584" s="227"/>
      <c r="W584" s="227"/>
      <c r="X584" s="227"/>
      <c r="Y584" s="227"/>
      <c r="Z584" s="227"/>
    </row>
    <row r="585" spans="7:26" ht="12.75" customHeight="1">
      <c r="G585" s="174"/>
      <c r="N585" s="192"/>
      <c r="O585" s="227"/>
      <c r="P585" s="227"/>
      <c r="Q585" s="227"/>
      <c r="R585" s="227"/>
      <c r="S585" s="227"/>
      <c r="T585" s="227"/>
      <c r="U585" s="227"/>
      <c r="V585" s="227"/>
      <c r="W585" s="227"/>
      <c r="X585" s="227"/>
      <c r="Y585" s="227"/>
      <c r="Z585" s="227"/>
    </row>
    <row r="586" spans="7:26" ht="12.75" customHeight="1">
      <c r="G586" s="174"/>
      <c r="N586" s="192"/>
      <c r="O586" s="227"/>
      <c r="P586" s="227"/>
      <c r="Q586" s="227"/>
      <c r="R586" s="227"/>
      <c r="S586" s="227"/>
      <c r="T586" s="227"/>
      <c r="U586" s="227"/>
      <c r="V586" s="227"/>
      <c r="W586" s="227"/>
      <c r="X586" s="227"/>
      <c r="Y586" s="227"/>
      <c r="Z586" s="227"/>
    </row>
    <row r="587" spans="7:26" ht="12.75" customHeight="1">
      <c r="G587" s="174"/>
      <c r="N587" s="192"/>
      <c r="O587" s="227"/>
      <c r="P587" s="227"/>
      <c r="Q587" s="227"/>
      <c r="R587" s="227"/>
      <c r="S587" s="227"/>
      <c r="T587" s="227"/>
      <c r="U587" s="227"/>
      <c r="V587" s="227"/>
      <c r="W587" s="227"/>
      <c r="X587" s="227"/>
      <c r="Y587" s="227"/>
      <c r="Z587" s="227"/>
    </row>
    <row r="588" spans="7:26" ht="12.75" customHeight="1">
      <c r="G588" s="174"/>
      <c r="N588" s="192"/>
      <c r="O588" s="227"/>
      <c r="P588" s="227"/>
      <c r="Q588" s="227"/>
      <c r="R588" s="227"/>
      <c r="S588" s="227"/>
      <c r="T588" s="227"/>
      <c r="U588" s="227"/>
      <c r="V588" s="227"/>
      <c r="W588" s="227"/>
      <c r="X588" s="227"/>
      <c r="Y588" s="227"/>
      <c r="Z588" s="227"/>
    </row>
    <row r="589" spans="7:26" ht="12.75" customHeight="1">
      <c r="G589" s="174"/>
      <c r="N589" s="192"/>
      <c r="O589" s="227"/>
      <c r="P589" s="227"/>
      <c r="Q589" s="227"/>
      <c r="R589" s="227"/>
      <c r="S589" s="227"/>
      <c r="T589" s="227"/>
      <c r="U589" s="227"/>
      <c r="V589" s="227"/>
      <c r="W589" s="227"/>
      <c r="X589" s="227"/>
      <c r="Y589" s="227"/>
      <c r="Z589" s="227"/>
    </row>
    <row r="590" spans="7:26" ht="12.75" customHeight="1">
      <c r="G590" s="174"/>
      <c r="N590" s="192"/>
      <c r="O590" s="227"/>
      <c r="P590" s="227"/>
      <c r="Q590" s="227"/>
      <c r="R590" s="227"/>
      <c r="S590" s="227"/>
      <c r="T590" s="227"/>
      <c r="U590" s="227"/>
      <c r="V590" s="227"/>
      <c r="W590" s="227"/>
      <c r="X590" s="227"/>
      <c r="Y590" s="227"/>
      <c r="Z590" s="227"/>
    </row>
    <row r="591" spans="7:26" ht="12.75" customHeight="1">
      <c r="G591" s="174"/>
      <c r="N591" s="192"/>
      <c r="O591" s="227"/>
      <c r="P591" s="227"/>
      <c r="Q591" s="227"/>
      <c r="R591" s="227"/>
      <c r="S591" s="227"/>
      <c r="T591" s="227"/>
      <c r="U591" s="227"/>
      <c r="V591" s="227"/>
      <c r="W591" s="227"/>
      <c r="X591" s="227"/>
      <c r="Y591" s="227"/>
      <c r="Z591" s="227"/>
    </row>
    <row r="592" spans="7:26" ht="12.75" customHeight="1">
      <c r="G592" s="174"/>
      <c r="N592" s="192"/>
      <c r="O592" s="227"/>
      <c r="P592" s="227"/>
      <c r="Q592" s="227"/>
      <c r="R592" s="227"/>
      <c r="S592" s="227"/>
      <c r="T592" s="227"/>
      <c r="U592" s="227"/>
      <c r="V592" s="227"/>
      <c r="W592" s="227"/>
      <c r="X592" s="227"/>
      <c r="Y592" s="227"/>
      <c r="Z592" s="227"/>
    </row>
    <row r="593" spans="7:26" ht="12.75" customHeight="1">
      <c r="G593" s="174"/>
      <c r="N593" s="192"/>
      <c r="O593" s="227"/>
      <c r="P593" s="227"/>
      <c r="Q593" s="227"/>
      <c r="R593" s="227"/>
      <c r="S593" s="227"/>
      <c r="T593" s="227"/>
      <c r="U593" s="227"/>
      <c r="V593" s="227"/>
      <c r="W593" s="227"/>
      <c r="X593" s="227"/>
      <c r="Y593" s="227"/>
      <c r="Z593" s="227"/>
    </row>
    <row r="594" spans="7:26" ht="12.75" customHeight="1">
      <c r="G594" s="174"/>
      <c r="N594" s="192"/>
      <c r="O594" s="227"/>
      <c r="P594" s="227"/>
      <c r="Q594" s="227"/>
      <c r="R594" s="227"/>
      <c r="S594" s="227"/>
      <c r="T594" s="227"/>
      <c r="U594" s="227"/>
      <c r="V594" s="227"/>
      <c r="W594" s="227"/>
      <c r="X594" s="227"/>
      <c r="Y594" s="227"/>
      <c r="Z594" s="227"/>
    </row>
    <row r="595" spans="7:26" ht="12.75" customHeight="1">
      <c r="G595" s="174"/>
      <c r="N595" s="192"/>
      <c r="O595" s="227"/>
      <c r="P595" s="227"/>
      <c r="Q595" s="227"/>
      <c r="R595" s="227"/>
      <c r="S595" s="227"/>
      <c r="T595" s="227"/>
      <c r="U595" s="227"/>
      <c r="V595" s="227"/>
      <c r="W595" s="227"/>
      <c r="X595" s="227"/>
      <c r="Y595" s="227"/>
      <c r="Z595" s="227"/>
    </row>
    <row r="596" spans="7:26" ht="12.75" customHeight="1">
      <c r="G596" s="174"/>
      <c r="N596" s="192"/>
      <c r="O596" s="227"/>
      <c r="P596" s="227"/>
      <c r="Q596" s="227"/>
      <c r="R596" s="227"/>
      <c r="S596" s="227"/>
      <c r="T596" s="227"/>
      <c r="U596" s="227"/>
      <c r="V596" s="227"/>
      <c r="W596" s="227"/>
      <c r="X596" s="227"/>
      <c r="Y596" s="227"/>
      <c r="Z596" s="227"/>
    </row>
    <row r="597" spans="7:26" ht="12.75" customHeight="1">
      <c r="G597" s="174"/>
      <c r="N597" s="192"/>
      <c r="O597" s="227"/>
      <c r="P597" s="227"/>
      <c r="Q597" s="227"/>
      <c r="R597" s="227"/>
      <c r="S597" s="227"/>
      <c r="T597" s="227"/>
      <c r="U597" s="227"/>
      <c r="V597" s="227"/>
      <c r="W597" s="227"/>
      <c r="X597" s="227"/>
      <c r="Y597" s="227"/>
      <c r="Z597" s="227"/>
    </row>
    <row r="598" spans="7:26" ht="12.75" customHeight="1">
      <c r="G598" s="174"/>
      <c r="N598" s="192"/>
      <c r="O598" s="227"/>
      <c r="P598" s="227"/>
      <c r="Q598" s="227"/>
      <c r="R598" s="227"/>
      <c r="S598" s="227"/>
      <c r="T598" s="227"/>
      <c r="U598" s="227"/>
      <c r="V598" s="227"/>
      <c r="W598" s="227"/>
      <c r="X598" s="227"/>
      <c r="Y598" s="227"/>
      <c r="Z598" s="227"/>
    </row>
    <row r="599" spans="7:26" ht="12.75" customHeight="1">
      <c r="G599" s="174"/>
      <c r="N599" s="192"/>
      <c r="O599" s="227"/>
      <c r="P599" s="227"/>
      <c r="Q599" s="227"/>
      <c r="R599" s="227"/>
      <c r="S599" s="227"/>
      <c r="T599" s="227"/>
      <c r="U599" s="227"/>
      <c r="V599" s="227"/>
      <c r="W599" s="227"/>
      <c r="X599" s="227"/>
      <c r="Y599" s="227"/>
      <c r="Z599" s="227"/>
    </row>
    <row r="600" spans="7:26" ht="12.75" customHeight="1">
      <c r="G600" s="174"/>
      <c r="N600" s="192"/>
      <c r="O600" s="227"/>
      <c r="P600" s="227"/>
      <c r="Q600" s="227"/>
      <c r="R600" s="227"/>
      <c r="S600" s="227"/>
      <c r="T600" s="227"/>
      <c r="U600" s="227"/>
      <c r="V600" s="227"/>
      <c r="W600" s="227"/>
      <c r="X600" s="227"/>
      <c r="Y600" s="227"/>
      <c r="Z600" s="227"/>
    </row>
    <row r="601" spans="7:26" ht="12.75" customHeight="1">
      <c r="G601" s="174"/>
      <c r="N601" s="192"/>
      <c r="O601" s="227"/>
      <c r="P601" s="227"/>
      <c r="Q601" s="227"/>
      <c r="R601" s="227"/>
      <c r="S601" s="227"/>
      <c r="T601" s="227"/>
      <c r="U601" s="227"/>
      <c r="V601" s="227"/>
      <c r="W601" s="227"/>
      <c r="X601" s="227"/>
      <c r="Y601" s="227"/>
      <c r="Z601" s="227"/>
    </row>
    <row r="602" spans="7:26" ht="12.75" customHeight="1">
      <c r="G602" s="174"/>
      <c r="N602" s="192"/>
      <c r="O602" s="227"/>
      <c r="P602" s="227"/>
      <c r="Q602" s="227"/>
      <c r="R602" s="227"/>
      <c r="S602" s="227"/>
      <c r="T602" s="227"/>
      <c r="U602" s="227"/>
      <c r="V602" s="227"/>
      <c r="W602" s="227"/>
      <c r="X602" s="227"/>
      <c r="Y602" s="227"/>
      <c r="Z602" s="227"/>
    </row>
    <row r="603" spans="7:26" ht="12.75" customHeight="1">
      <c r="G603" s="174"/>
      <c r="N603" s="192"/>
      <c r="O603" s="227"/>
      <c r="P603" s="227"/>
      <c r="Q603" s="227"/>
      <c r="R603" s="227"/>
      <c r="S603" s="227"/>
      <c r="T603" s="227"/>
      <c r="U603" s="227"/>
      <c r="V603" s="227"/>
      <c r="W603" s="227"/>
      <c r="X603" s="227"/>
      <c r="Y603" s="227"/>
      <c r="Z603" s="227"/>
    </row>
    <row r="604" spans="7:26" ht="12.75" customHeight="1">
      <c r="G604" s="174"/>
      <c r="N604" s="192"/>
      <c r="O604" s="227"/>
      <c r="P604" s="227"/>
      <c r="Q604" s="227"/>
      <c r="R604" s="227"/>
      <c r="S604" s="227"/>
      <c r="T604" s="227"/>
      <c r="U604" s="227"/>
      <c r="V604" s="227"/>
      <c r="W604" s="227"/>
      <c r="X604" s="227"/>
      <c r="Y604" s="227"/>
      <c r="Z604" s="227"/>
    </row>
    <row r="605" spans="7:26" ht="12.75" customHeight="1">
      <c r="G605" s="174"/>
      <c r="N605" s="192"/>
      <c r="O605" s="227"/>
      <c r="P605" s="227"/>
      <c r="Q605" s="227"/>
      <c r="R605" s="227"/>
      <c r="S605" s="227"/>
      <c r="T605" s="227"/>
      <c r="U605" s="227"/>
      <c r="V605" s="227"/>
      <c r="W605" s="227"/>
      <c r="X605" s="227"/>
      <c r="Y605" s="227"/>
      <c r="Z605" s="227"/>
    </row>
    <row r="606" spans="7:26" ht="12.75" customHeight="1">
      <c r="G606" s="174"/>
      <c r="N606" s="192"/>
      <c r="O606" s="227"/>
      <c r="P606" s="227"/>
      <c r="Q606" s="227"/>
      <c r="R606" s="227"/>
      <c r="S606" s="227"/>
      <c r="T606" s="227"/>
      <c r="U606" s="227"/>
      <c r="V606" s="227"/>
      <c r="W606" s="227"/>
      <c r="X606" s="227"/>
      <c r="Y606" s="227"/>
      <c r="Z606" s="227"/>
    </row>
    <row r="607" spans="7:26" ht="12.75" customHeight="1">
      <c r="G607" s="174"/>
      <c r="N607" s="192"/>
      <c r="O607" s="227"/>
      <c r="P607" s="227"/>
      <c r="Q607" s="227"/>
      <c r="R607" s="227"/>
      <c r="S607" s="227"/>
      <c r="T607" s="227"/>
      <c r="U607" s="227"/>
      <c r="V607" s="227"/>
      <c r="W607" s="227"/>
      <c r="X607" s="227"/>
      <c r="Y607" s="227"/>
      <c r="Z607" s="227"/>
    </row>
    <row r="608" spans="7:26" ht="12.75" customHeight="1">
      <c r="G608" s="174"/>
      <c r="N608" s="192"/>
      <c r="O608" s="227"/>
      <c r="P608" s="227"/>
      <c r="Q608" s="227"/>
      <c r="R608" s="227"/>
      <c r="S608" s="227"/>
      <c r="T608" s="227"/>
      <c r="U608" s="227"/>
      <c r="V608" s="227"/>
      <c r="W608" s="227"/>
      <c r="X608" s="227"/>
      <c r="Y608" s="227"/>
      <c r="Z608" s="227"/>
    </row>
    <row r="609" spans="7:26" ht="12.75" customHeight="1">
      <c r="G609" s="174"/>
      <c r="N609" s="192"/>
      <c r="O609" s="227"/>
      <c r="P609" s="227"/>
      <c r="Q609" s="227"/>
      <c r="R609" s="227"/>
      <c r="S609" s="227"/>
      <c r="T609" s="227"/>
      <c r="U609" s="227"/>
      <c r="V609" s="227"/>
      <c r="W609" s="227"/>
      <c r="X609" s="227"/>
      <c r="Y609" s="227"/>
      <c r="Z609" s="227"/>
    </row>
    <row r="610" spans="7:26" ht="12.75" customHeight="1">
      <c r="G610" s="174"/>
      <c r="N610" s="192"/>
      <c r="O610" s="227"/>
      <c r="P610" s="227"/>
      <c r="Q610" s="227"/>
      <c r="R610" s="227"/>
      <c r="S610" s="227"/>
      <c r="T610" s="227"/>
      <c r="U610" s="227"/>
      <c r="V610" s="227"/>
      <c r="W610" s="227"/>
      <c r="X610" s="227"/>
      <c r="Y610" s="227"/>
      <c r="Z610" s="227"/>
    </row>
    <row r="611" spans="7:26" ht="12.75" customHeight="1">
      <c r="G611" s="174"/>
      <c r="N611" s="192"/>
      <c r="O611" s="227"/>
      <c r="P611" s="227"/>
      <c r="Q611" s="227"/>
      <c r="R611" s="227"/>
      <c r="S611" s="227"/>
      <c r="T611" s="227"/>
      <c r="U611" s="227"/>
      <c r="V611" s="227"/>
      <c r="W611" s="227"/>
      <c r="X611" s="227"/>
      <c r="Y611" s="227"/>
      <c r="Z611" s="227"/>
    </row>
    <row r="612" spans="7:26" ht="12.75" customHeight="1">
      <c r="G612" s="174"/>
      <c r="N612" s="192"/>
      <c r="O612" s="227"/>
      <c r="P612" s="227"/>
      <c r="Q612" s="227"/>
      <c r="R612" s="227"/>
      <c r="S612" s="227"/>
      <c r="T612" s="227"/>
      <c r="U612" s="227"/>
      <c r="V612" s="227"/>
      <c r="W612" s="227"/>
      <c r="X612" s="227"/>
      <c r="Y612" s="227"/>
      <c r="Z612" s="227"/>
    </row>
    <row r="613" spans="7:26" ht="12.75" customHeight="1">
      <c r="G613" s="174"/>
      <c r="N613" s="192"/>
      <c r="O613" s="227"/>
      <c r="P613" s="227"/>
      <c r="Q613" s="227"/>
      <c r="R613" s="227"/>
      <c r="S613" s="227"/>
      <c r="T613" s="227"/>
      <c r="U613" s="227"/>
      <c r="V613" s="227"/>
      <c r="W613" s="227"/>
      <c r="X613" s="227"/>
      <c r="Y613" s="227"/>
      <c r="Z613" s="227"/>
    </row>
    <row r="614" spans="7:26" ht="12.75" customHeight="1">
      <c r="G614" s="174"/>
      <c r="N614" s="192"/>
      <c r="O614" s="227"/>
      <c r="P614" s="227"/>
      <c r="Q614" s="227"/>
      <c r="R614" s="227"/>
      <c r="S614" s="227"/>
      <c r="T614" s="227"/>
      <c r="U614" s="227"/>
      <c r="V614" s="227"/>
      <c r="W614" s="227"/>
      <c r="X614" s="227"/>
      <c r="Y614" s="227"/>
      <c r="Z614" s="227"/>
    </row>
    <row r="615" spans="7:26" ht="12.75" customHeight="1">
      <c r="G615" s="174"/>
      <c r="N615" s="192"/>
      <c r="O615" s="227"/>
      <c r="P615" s="227"/>
      <c r="Q615" s="227"/>
      <c r="R615" s="227"/>
      <c r="S615" s="227"/>
      <c r="T615" s="227"/>
      <c r="U615" s="227"/>
      <c r="V615" s="227"/>
      <c r="W615" s="227"/>
      <c r="X615" s="227"/>
      <c r="Y615" s="227"/>
      <c r="Z615" s="227"/>
    </row>
    <row r="616" spans="7:26" ht="12.75" customHeight="1">
      <c r="G616" s="174"/>
      <c r="N616" s="192"/>
      <c r="O616" s="227"/>
      <c r="P616" s="227"/>
      <c r="Q616" s="227"/>
      <c r="R616" s="227"/>
      <c r="S616" s="227"/>
      <c r="T616" s="227"/>
      <c r="U616" s="227"/>
      <c r="V616" s="227"/>
      <c r="W616" s="227"/>
      <c r="X616" s="227"/>
      <c r="Y616" s="227"/>
      <c r="Z616" s="227"/>
    </row>
    <row r="617" spans="7:26" ht="12.75" customHeight="1">
      <c r="G617" s="174"/>
      <c r="N617" s="192"/>
      <c r="O617" s="227"/>
      <c r="P617" s="227"/>
      <c r="Q617" s="227"/>
      <c r="R617" s="227"/>
      <c r="S617" s="227"/>
      <c r="T617" s="227"/>
      <c r="U617" s="227"/>
      <c r="V617" s="227"/>
      <c r="W617" s="227"/>
      <c r="X617" s="227"/>
      <c r="Y617" s="227"/>
      <c r="Z617" s="227"/>
    </row>
    <row r="618" spans="7:26" ht="12.75" customHeight="1">
      <c r="G618" s="174"/>
      <c r="N618" s="192"/>
      <c r="O618" s="227"/>
      <c r="P618" s="227"/>
      <c r="Q618" s="227"/>
      <c r="R618" s="227"/>
      <c r="S618" s="227"/>
      <c r="T618" s="227"/>
      <c r="U618" s="227"/>
      <c r="V618" s="227"/>
      <c r="W618" s="227"/>
      <c r="X618" s="227"/>
      <c r="Y618" s="227"/>
      <c r="Z618" s="227"/>
    </row>
    <row r="619" spans="7:26" ht="12.75" customHeight="1">
      <c r="G619" s="174"/>
      <c r="N619" s="192"/>
      <c r="O619" s="227"/>
      <c r="P619" s="227"/>
      <c r="Q619" s="227"/>
      <c r="R619" s="227"/>
      <c r="S619" s="227"/>
      <c r="T619" s="227"/>
      <c r="U619" s="227"/>
      <c r="V619" s="227"/>
      <c r="W619" s="227"/>
      <c r="X619" s="227"/>
      <c r="Y619" s="227"/>
      <c r="Z619" s="227"/>
    </row>
    <row r="620" spans="7:26" ht="12.75" customHeight="1">
      <c r="G620" s="174"/>
      <c r="N620" s="192"/>
      <c r="O620" s="227"/>
      <c r="P620" s="227"/>
      <c r="Q620" s="227"/>
      <c r="R620" s="227"/>
      <c r="S620" s="227"/>
      <c r="T620" s="227"/>
      <c r="U620" s="227"/>
      <c r="V620" s="227"/>
      <c r="W620" s="227"/>
      <c r="X620" s="227"/>
      <c r="Y620" s="227"/>
      <c r="Z620" s="227"/>
    </row>
    <row r="621" spans="7:26" ht="12.75" customHeight="1">
      <c r="G621" s="174"/>
      <c r="N621" s="192"/>
      <c r="O621" s="227"/>
      <c r="P621" s="227"/>
      <c r="Q621" s="227"/>
      <c r="R621" s="227"/>
      <c r="S621" s="227"/>
      <c r="T621" s="227"/>
      <c r="U621" s="227"/>
      <c r="V621" s="227"/>
      <c r="W621" s="227"/>
      <c r="X621" s="227"/>
      <c r="Y621" s="227"/>
      <c r="Z621" s="227"/>
    </row>
    <row r="622" spans="7:26" ht="12.75" customHeight="1">
      <c r="G622" s="174"/>
      <c r="N622" s="192"/>
      <c r="O622" s="227"/>
      <c r="P622" s="227"/>
      <c r="Q622" s="227"/>
      <c r="R622" s="227"/>
      <c r="S622" s="227"/>
      <c r="T622" s="227"/>
      <c r="U622" s="227"/>
      <c r="V622" s="227"/>
      <c r="W622" s="227"/>
      <c r="X622" s="227"/>
      <c r="Y622" s="227"/>
      <c r="Z622" s="227"/>
    </row>
    <row r="623" spans="7:26" ht="12.75" customHeight="1">
      <c r="G623" s="174"/>
      <c r="N623" s="192"/>
      <c r="O623" s="227"/>
      <c r="P623" s="227"/>
      <c r="Q623" s="227"/>
      <c r="R623" s="227"/>
      <c r="S623" s="227"/>
      <c r="T623" s="227"/>
      <c r="U623" s="227"/>
      <c r="V623" s="227"/>
      <c r="W623" s="227"/>
      <c r="X623" s="227"/>
      <c r="Y623" s="227"/>
      <c r="Z623" s="227"/>
    </row>
    <row r="624" spans="7:26" ht="12.75" customHeight="1">
      <c r="G624" s="174"/>
      <c r="N624" s="192"/>
      <c r="O624" s="227"/>
      <c r="P624" s="227"/>
      <c r="Q624" s="227"/>
      <c r="R624" s="227"/>
      <c r="S624" s="227"/>
      <c r="T624" s="227"/>
      <c r="U624" s="227"/>
      <c r="V624" s="227"/>
      <c r="W624" s="227"/>
      <c r="X624" s="227"/>
      <c r="Y624" s="227"/>
      <c r="Z624" s="227"/>
    </row>
    <row r="625" spans="7:26" ht="12.75" customHeight="1">
      <c r="G625" s="174"/>
      <c r="N625" s="192"/>
      <c r="O625" s="227"/>
      <c r="P625" s="227"/>
      <c r="Q625" s="227"/>
      <c r="R625" s="227"/>
      <c r="S625" s="227"/>
      <c r="T625" s="227"/>
      <c r="U625" s="227"/>
      <c r="V625" s="227"/>
      <c r="W625" s="227"/>
      <c r="X625" s="227"/>
      <c r="Y625" s="227"/>
      <c r="Z625" s="227"/>
    </row>
    <row r="626" spans="7:26" ht="12.75" customHeight="1">
      <c r="G626" s="174"/>
      <c r="N626" s="192"/>
      <c r="O626" s="227"/>
      <c r="P626" s="227"/>
      <c r="Q626" s="227"/>
      <c r="R626" s="227"/>
      <c r="S626" s="227"/>
      <c r="T626" s="227"/>
      <c r="U626" s="227"/>
      <c r="V626" s="227"/>
      <c r="W626" s="227"/>
      <c r="X626" s="227"/>
      <c r="Y626" s="227"/>
      <c r="Z626" s="227"/>
    </row>
    <row r="627" spans="7:26" ht="12.75" customHeight="1">
      <c r="G627" s="174"/>
      <c r="N627" s="192"/>
      <c r="O627" s="227"/>
      <c r="P627" s="227"/>
      <c r="Q627" s="227"/>
      <c r="R627" s="227"/>
      <c r="S627" s="227"/>
      <c r="T627" s="227"/>
      <c r="U627" s="227"/>
      <c r="V627" s="227"/>
      <c r="W627" s="227"/>
      <c r="X627" s="227"/>
      <c r="Y627" s="227"/>
      <c r="Z627" s="227"/>
    </row>
    <row r="628" spans="7:26" ht="12.75" customHeight="1">
      <c r="G628" s="174"/>
      <c r="N628" s="192"/>
      <c r="O628" s="227"/>
      <c r="P628" s="227"/>
      <c r="Q628" s="227"/>
      <c r="R628" s="227"/>
      <c r="S628" s="227"/>
      <c r="T628" s="227"/>
      <c r="U628" s="227"/>
      <c r="V628" s="227"/>
      <c r="W628" s="227"/>
      <c r="X628" s="227"/>
      <c r="Y628" s="227"/>
      <c r="Z628" s="227"/>
    </row>
    <row r="629" spans="7:26" ht="12.75" customHeight="1">
      <c r="G629" s="174"/>
      <c r="N629" s="192"/>
      <c r="O629" s="227"/>
      <c r="P629" s="227"/>
      <c r="Q629" s="227"/>
      <c r="R629" s="227"/>
      <c r="S629" s="227"/>
      <c r="T629" s="227"/>
      <c r="U629" s="227"/>
      <c r="V629" s="227"/>
      <c r="W629" s="227"/>
      <c r="X629" s="227"/>
      <c r="Y629" s="227"/>
      <c r="Z629" s="227"/>
    </row>
    <row r="630" spans="7:26" ht="12.75" customHeight="1">
      <c r="G630" s="174"/>
      <c r="N630" s="192"/>
      <c r="O630" s="227"/>
      <c r="P630" s="227"/>
      <c r="Q630" s="227"/>
      <c r="R630" s="227"/>
      <c r="S630" s="227"/>
      <c r="T630" s="227"/>
      <c r="U630" s="227"/>
      <c r="V630" s="227"/>
      <c r="W630" s="227"/>
      <c r="X630" s="227"/>
      <c r="Y630" s="227"/>
      <c r="Z630" s="227"/>
    </row>
    <row r="631" spans="7:26" ht="12.75" customHeight="1">
      <c r="G631" s="174"/>
      <c r="N631" s="192"/>
      <c r="O631" s="227"/>
      <c r="P631" s="227"/>
      <c r="Q631" s="227"/>
      <c r="R631" s="227"/>
      <c r="S631" s="227"/>
      <c r="T631" s="227"/>
      <c r="U631" s="227"/>
      <c r="V631" s="227"/>
      <c r="W631" s="227"/>
      <c r="X631" s="227"/>
      <c r="Y631" s="227"/>
      <c r="Z631" s="227"/>
    </row>
    <row r="632" spans="7:26" ht="12.75" customHeight="1">
      <c r="G632" s="174"/>
      <c r="N632" s="192"/>
      <c r="O632" s="227"/>
      <c r="P632" s="227"/>
      <c r="Q632" s="227"/>
      <c r="R632" s="227"/>
      <c r="S632" s="227"/>
      <c r="T632" s="227"/>
      <c r="U632" s="227"/>
      <c r="V632" s="227"/>
      <c r="W632" s="227"/>
      <c r="X632" s="227"/>
      <c r="Y632" s="227"/>
      <c r="Z632" s="227"/>
    </row>
    <row r="633" spans="7:26" ht="12.75" customHeight="1">
      <c r="G633" s="174"/>
      <c r="N633" s="192"/>
      <c r="O633" s="227"/>
      <c r="P633" s="227"/>
      <c r="Q633" s="227"/>
      <c r="R633" s="227"/>
      <c r="S633" s="227"/>
      <c r="T633" s="227"/>
      <c r="U633" s="227"/>
      <c r="V633" s="227"/>
      <c r="W633" s="227"/>
      <c r="X633" s="227"/>
      <c r="Y633" s="227"/>
      <c r="Z633" s="227"/>
    </row>
    <row r="634" spans="7:26" ht="12.75" customHeight="1">
      <c r="G634" s="174"/>
      <c r="N634" s="192"/>
      <c r="O634" s="227"/>
      <c r="P634" s="227"/>
      <c r="Q634" s="227"/>
      <c r="R634" s="227"/>
      <c r="S634" s="227"/>
      <c r="T634" s="227"/>
      <c r="U634" s="227"/>
      <c r="V634" s="227"/>
      <c r="W634" s="227"/>
      <c r="X634" s="227"/>
      <c r="Y634" s="227"/>
      <c r="Z634" s="227"/>
    </row>
    <row r="635" spans="7:26" ht="12.75" customHeight="1">
      <c r="G635" s="174"/>
      <c r="N635" s="192"/>
      <c r="O635" s="227"/>
      <c r="P635" s="227"/>
      <c r="Q635" s="227"/>
      <c r="R635" s="227"/>
      <c r="S635" s="227"/>
      <c r="T635" s="227"/>
      <c r="U635" s="227"/>
      <c r="V635" s="227"/>
      <c r="W635" s="227"/>
      <c r="X635" s="227"/>
      <c r="Y635" s="227"/>
      <c r="Z635" s="227"/>
    </row>
    <row r="636" spans="7:26" ht="12.75" customHeight="1">
      <c r="G636" s="174"/>
      <c r="N636" s="192"/>
      <c r="O636" s="227"/>
      <c r="P636" s="227"/>
      <c r="Q636" s="227"/>
      <c r="R636" s="227"/>
      <c r="S636" s="227"/>
      <c r="T636" s="227"/>
      <c r="U636" s="227"/>
      <c r="V636" s="227"/>
      <c r="W636" s="227"/>
      <c r="X636" s="227"/>
      <c r="Y636" s="227"/>
      <c r="Z636" s="227"/>
    </row>
    <row r="637" spans="7:26" ht="12.75" customHeight="1">
      <c r="G637" s="174"/>
      <c r="N637" s="192"/>
      <c r="O637" s="227"/>
      <c r="P637" s="227"/>
      <c r="Q637" s="227"/>
      <c r="R637" s="227"/>
      <c r="S637" s="227"/>
      <c r="T637" s="227"/>
      <c r="U637" s="227"/>
      <c r="V637" s="227"/>
      <c r="W637" s="227"/>
      <c r="X637" s="227"/>
      <c r="Y637" s="227"/>
      <c r="Z637" s="227"/>
    </row>
    <row r="638" spans="7:26" ht="12.75" customHeight="1">
      <c r="G638" s="174"/>
      <c r="N638" s="192"/>
      <c r="O638" s="227"/>
      <c r="P638" s="227"/>
      <c r="Q638" s="227"/>
      <c r="R638" s="227"/>
      <c r="S638" s="227"/>
      <c r="T638" s="227"/>
      <c r="U638" s="227"/>
      <c r="V638" s="227"/>
      <c r="W638" s="227"/>
      <c r="X638" s="227"/>
      <c r="Y638" s="227"/>
      <c r="Z638" s="227"/>
    </row>
    <row r="639" spans="7:26" ht="12.75" customHeight="1">
      <c r="G639" s="174"/>
      <c r="N639" s="192"/>
      <c r="O639" s="227"/>
      <c r="P639" s="227"/>
      <c r="Q639" s="227"/>
      <c r="R639" s="227"/>
      <c r="S639" s="227"/>
      <c r="T639" s="227"/>
      <c r="U639" s="227"/>
      <c r="V639" s="227"/>
      <c r="W639" s="227"/>
      <c r="X639" s="227"/>
      <c r="Y639" s="227"/>
      <c r="Z639" s="227"/>
    </row>
    <row r="640" spans="7:26" ht="12.75" customHeight="1">
      <c r="G640" s="174"/>
      <c r="N640" s="192"/>
      <c r="O640" s="227"/>
      <c r="P640" s="227"/>
      <c r="Q640" s="227"/>
      <c r="R640" s="227"/>
      <c r="S640" s="227"/>
      <c r="T640" s="227"/>
      <c r="U640" s="227"/>
      <c r="V640" s="227"/>
      <c r="W640" s="227"/>
      <c r="X640" s="227"/>
      <c r="Y640" s="227"/>
      <c r="Z640" s="227"/>
    </row>
    <row r="641" spans="7:26" ht="12.75" customHeight="1">
      <c r="G641" s="174"/>
      <c r="N641" s="192"/>
      <c r="O641" s="227"/>
      <c r="P641" s="227"/>
      <c r="Q641" s="227"/>
      <c r="R641" s="227"/>
      <c r="S641" s="227"/>
      <c r="T641" s="227"/>
      <c r="U641" s="227"/>
      <c r="V641" s="227"/>
      <c r="W641" s="227"/>
      <c r="X641" s="227"/>
      <c r="Y641" s="227"/>
      <c r="Z641" s="227"/>
    </row>
    <row r="642" spans="7:26" ht="12.75" customHeight="1">
      <c r="G642" s="174"/>
      <c r="N642" s="192"/>
      <c r="O642" s="227"/>
      <c r="P642" s="227"/>
      <c r="Q642" s="227"/>
      <c r="R642" s="227"/>
      <c r="S642" s="227"/>
      <c r="T642" s="227"/>
      <c r="U642" s="227"/>
      <c r="V642" s="227"/>
      <c r="W642" s="227"/>
      <c r="X642" s="227"/>
      <c r="Y642" s="227"/>
      <c r="Z642" s="227"/>
    </row>
    <row r="643" spans="7:26" ht="12.75" customHeight="1">
      <c r="G643" s="174"/>
      <c r="N643" s="192"/>
      <c r="O643" s="227"/>
      <c r="P643" s="227"/>
      <c r="Q643" s="227"/>
      <c r="R643" s="227"/>
      <c r="S643" s="227"/>
      <c r="T643" s="227"/>
      <c r="U643" s="227"/>
      <c r="V643" s="227"/>
      <c r="W643" s="227"/>
      <c r="X643" s="227"/>
      <c r="Y643" s="227"/>
      <c r="Z643" s="227"/>
    </row>
    <row r="644" spans="7:26" ht="12.75" customHeight="1">
      <c r="G644" s="174"/>
      <c r="N644" s="192"/>
      <c r="O644" s="227"/>
      <c r="P644" s="227"/>
      <c r="Q644" s="227"/>
      <c r="R644" s="227"/>
      <c r="S644" s="227"/>
      <c r="T644" s="227"/>
      <c r="U644" s="227"/>
      <c r="V644" s="227"/>
      <c r="W644" s="227"/>
      <c r="X644" s="227"/>
      <c r="Y644" s="227"/>
      <c r="Z644" s="227"/>
    </row>
    <row r="645" spans="7:26" ht="12.75" customHeight="1">
      <c r="G645" s="174"/>
      <c r="N645" s="192"/>
      <c r="O645" s="227"/>
      <c r="P645" s="227"/>
      <c r="Q645" s="227"/>
      <c r="R645" s="227"/>
      <c r="S645" s="227"/>
      <c r="T645" s="227"/>
      <c r="U645" s="227"/>
      <c r="V645" s="227"/>
      <c r="W645" s="227"/>
      <c r="X645" s="227"/>
      <c r="Y645" s="227"/>
      <c r="Z645" s="227"/>
    </row>
    <row r="646" spans="7:26" ht="12.75" customHeight="1">
      <c r="G646" s="174"/>
      <c r="N646" s="192"/>
      <c r="O646" s="227"/>
      <c r="P646" s="227"/>
      <c r="Q646" s="227"/>
      <c r="R646" s="227"/>
      <c r="S646" s="227"/>
      <c r="T646" s="227"/>
      <c r="U646" s="227"/>
      <c r="V646" s="227"/>
      <c r="W646" s="227"/>
      <c r="X646" s="227"/>
      <c r="Y646" s="227"/>
      <c r="Z646" s="227"/>
    </row>
    <row r="647" spans="7:26" ht="12.75" customHeight="1">
      <c r="G647" s="174"/>
      <c r="N647" s="192"/>
      <c r="O647" s="227"/>
      <c r="P647" s="227"/>
      <c r="Q647" s="227"/>
      <c r="R647" s="227"/>
      <c r="S647" s="227"/>
      <c r="T647" s="227"/>
      <c r="U647" s="227"/>
      <c r="V647" s="227"/>
      <c r="W647" s="227"/>
      <c r="X647" s="227"/>
      <c r="Y647" s="227"/>
      <c r="Z647" s="227"/>
    </row>
    <row r="648" spans="7:26" ht="12.75" customHeight="1">
      <c r="G648" s="174"/>
      <c r="N648" s="192"/>
      <c r="O648" s="227"/>
      <c r="P648" s="227"/>
      <c r="Q648" s="227"/>
      <c r="R648" s="227"/>
      <c r="S648" s="227"/>
      <c r="T648" s="227"/>
      <c r="U648" s="227"/>
      <c r="V648" s="227"/>
      <c r="W648" s="227"/>
      <c r="X648" s="227"/>
      <c r="Y648" s="227"/>
      <c r="Z648" s="227"/>
    </row>
    <row r="649" spans="7:26" ht="12.75" customHeight="1">
      <c r="G649" s="174"/>
      <c r="N649" s="192"/>
      <c r="O649" s="227"/>
      <c r="P649" s="227"/>
      <c r="Q649" s="227"/>
      <c r="R649" s="227"/>
      <c r="S649" s="227"/>
      <c r="T649" s="227"/>
      <c r="U649" s="227"/>
      <c r="V649" s="227"/>
      <c r="W649" s="227"/>
      <c r="X649" s="227"/>
      <c r="Y649" s="227"/>
      <c r="Z649" s="227"/>
    </row>
    <row r="650" spans="7:26" ht="12.75" customHeight="1">
      <c r="G650" s="174"/>
      <c r="N650" s="192"/>
      <c r="O650" s="227"/>
      <c r="P650" s="227"/>
      <c r="Q650" s="227"/>
      <c r="R650" s="227"/>
      <c r="S650" s="227"/>
      <c r="T650" s="227"/>
      <c r="U650" s="227"/>
      <c r="V650" s="227"/>
      <c r="W650" s="227"/>
      <c r="X650" s="227"/>
      <c r="Y650" s="227"/>
      <c r="Z650" s="227"/>
    </row>
    <row r="651" spans="7:26" ht="12.75" customHeight="1">
      <c r="G651" s="174"/>
      <c r="N651" s="192"/>
      <c r="O651" s="227"/>
      <c r="P651" s="227"/>
      <c r="Q651" s="227"/>
      <c r="R651" s="227"/>
      <c r="S651" s="227"/>
      <c r="T651" s="227"/>
      <c r="U651" s="227"/>
      <c r="V651" s="227"/>
      <c r="W651" s="227"/>
      <c r="X651" s="227"/>
      <c r="Y651" s="227"/>
      <c r="Z651" s="227"/>
    </row>
    <row r="652" spans="7:26" ht="12.75" customHeight="1">
      <c r="G652" s="174"/>
      <c r="N652" s="192"/>
      <c r="O652" s="227"/>
      <c r="P652" s="227"/>
      <c r="Q652" s="227"/>
      <c r="R652" s="227"/>
      <c r="S652" s="227"/>
      <c r="T652" s="227"/>
      <c r="U652" s="227"/>
      <c r="V652" s="227"/>
      <c r="W652" s="227"/>
      <c r="X652" s="227"/>
      <c r="Y652" s="227"/>
      <c r="Z652" s="227"/>
    </row>
    <row r="653" spans="7:26" ht="12.75" customHeight="1">
      <c r="G653" s="174"/>
      <c r="N653" s="192"/>
      <c r="O653" s="227"/>
      <c r="P653" s="227"/>
      <c r="Q653" s="227"/>
      <c r="R653" s="227"/>
      <c r="S653" s="227"/>
      <c r="T653" s="227"/>
      <c r="U653" s="227"/>
      <c r="V653" s="227"/>
      <c r="W653" s="227"/>
      <c r="X653" s="227"/>
      <c r="Y653" s="227"/>
      <c r="Z653" s="227"/>
    </row>
    <row r="654" spans="7:26" ht="12.75" customHeight="1">
      <c r="G654" s="174"/>
      <c r="N654" s="192"/>
      <c r="O654" s="227"/>
      <c r="P654" s="227"/>
      <c r="Q654" s="227"/>
      <c r="R654" s="227"/>
      <c r="S654" s="227"/>
      <c r="T654" s="227"/>
      <c r="U654" s="227"/>
      <c r="V654" s="227"/>
      <c r="W654" s="227"/>
      <c r="X654" s="227"/>
      <c r="Y654" s="227"/>
      <c r="Z654" s="227"/>
    </row>
    <row r="655" spans="7:26" ht="12.75" customHeight="1">
      <c r="G655" s="174"/>
      <c r="N655" s="192"/>
      <c r="O655" s="227"/>
      <c r="P655" s="227"/>
      <c r="Q655" s="227"/>
      <c r="R655" s="227"/>
      <c r="S655" s="227"/>
      <c r="T655" s="227"/>
      <c r="U655" s="227"/>
      <c r="V655" s="227"/>
      <c r="W655" s="227"/>
      <c r="X655" s="227"/>
      <c r="Y655" s="227"/>
      <c r="Z655" s="227"/>
    </row>
    <row r="656" spans="7:26" ht="12.75" customHeight="1">
      <c r="G656" s="174"/>
      <c r="N656" s="192"/>
      <c r="O656" s="227"/>
      <c r="P656" s="227"/>
      <c r="Q656" s="227"/>
      <c r="R656" s="227"/>
      <c r="S656" s="227"/>
      <c r="T656" s="227"/>
      <c r="U656" s="227"/>
      <c r="V656" s="227"/>
      <c r="W656" s="227"/>
      <c r="X656" s="227"/>
      <c r="Y656" s="227"/>
      <c r="Z656" s="227"/>
    </row>
    <row r="657" spans="7:26" ht="12.75" customHeight="1">
      <c r="G657" s="174"/>
      <c r="N657" s="192"/>
      <c r="O657" s="227"/>
      <c r="P657" s="227"/>
      <c r="Q657" s="227"/>
      <c r="R657" s="227"/>
      <c r="S657" s="227"/>
      <c r="T657" s="227"/>
      <c r="U657" s="227"/>
      <c r="V657" s="227"/>
      <c r="W657" s="227"/>
      <c r="X657" s="227"/>
      <c r="Y657" s="227"/>
      <c r="Z657" s="227"/>
    </row>
    <row r="658" spans="7:26" ht="12.75" customHeight="1">
      <c r="G658" s="174"/>
      <c r="N658" s="192"/>
      <c r="O658" s="227"/>
      <c r="P658" s="227"/>
      <c r="Q658" s="227"/>
      <c r="R658" s="227"/>
      <c r="S658" s="227"/>
      <c r="T658" s="227"/>
      <c r="U658" s="227"/>
      <c r="V658" s="227"/>
      <c r="W658" s="227"/>
      <c r="X658" s="227"/>
      <c r="Y658" s="227"/>
      <c r="Z658" s="227"/>
    </row>
    <row r="659" spans="7:26" ht="12.75" customHeight="1">
      <c r="G659" s="174"/>
      <c r="N659" s="192"/>
      <c r="O659" s="227"/>
      <c r="P659" s="227"/>
      <c r="Q659" s="227"/>
      <c r="R659" s="227"/>
      <c r="S659" s="227"/>
      <c r="T659" s="227"/>
      <c r="U659" s="227"/>
      <c r="V659" s="227"/>
      <c r="W659" s="227"/>
      <c r="X659" s="227"/>
      <c r="Y659" s="227"/>
      <c r="Z659" s="227"/>
    </row>
    <row r="660" spans="7:26" ht="12.75" customHeight="1">
      <c r="G660" s="174"/>
      <c r="N660" s="192"/>
      <c r="O660" s="227"/>
      <c r="P660" s="227"/>
      <c r="Q660" s="227"/>
      <c r="R660" s="227"/>
      <c r="S660" s="227"/>
      <c r="T660" s="227"/>
      <c r="U660" s="227"/>
      <c r="V660" s="227"/>
      <c r="W660" s="227"/>
      <c r="X660" s="227"/>
      <c r="Y660" s="227"/>
      <c r="Z660" s="227"/>
    </row>
    <row r="661" spans="7:26" ht="12.75" customHeight="1">
      <c r="G661" s="174"/>
      <c r="N661" s="192"/>
      <c r="O661" s="227"/>
      <c r="P661" s="227"/>
      <c r="Q661" s="227"/>
      <c r="R661" s="227"/>
      <c r="S661" s="227"/>
      <c r="T661" s="227"/>
      <c r="U661" s="227"/>
      <c r="V661" s="227"/>
      <c r="W661" s="227"/>
      <c r="X661" s="227"/>
      <c r="Y661" s="227"/>
      <c r="Z661" s="227"/>
    </row>
    <row r="662" spans="7:26" ht="12.75" customHeight="1">
      <c r="G662" s="174"/>
      <c r="N662" s="192"/>
      <c r="O662" s="227"/>
      <c r="P662" s="227"/>
      <c r="Q662" s="227"/>
      <c r="R662" s="227"/>
      <c r="S662" s="227"/>
      <c r="T662" s="227"/>
      <c r="U662" s="227"/>
      <c r="V662" s="227"/>
      <c r="W662" s="227"/>
      <c r="X662" s="227"/>
      <c r="Y662" s="227"/>
      <c r="Z662" s="227"/>
    </row>
    <row r="663" spans="7:26" ht="12.75" customHeight="1">
      <c r="G663" s="174"/>
      <c r="N663" s="192"/>
      <c r="O663" s="227"/>
      <c r="P663" s="227"/>
      <c r="Q663" s="227"/>
      <c r="R663" s="227"/>
      <c r="S663" s="227"/>
      <c r="T663" s="227"/>
      <c r="U663" s="227"/>
      <c r="V663" s="227"/>
      <c r="W663" s="227"/>
      <c r="X663" s="227"/>
      <c r="Y663" s="227"/>
      <c r="Z663" s="227"/>
    </row>
    <row r="664" spans="7:26" ht="12.75" customHeight="1">
      <c r="G664" s="174"/>
      <c r="N664" s="192"/>
      <c r="O664" s="227"/>
      <c r="P664" s="227"/>
      <c r="Q664" s="227"/>
      <c r="R664" s="227"/>
      <c r="S664" s="227"/>
      <c r="T664" s="227"/>
      <c r="U664" s="227"/>
      <c r="V664" s="227"/>
      <c r="W664" s="227"/>
      <c r="X664" s="227"/>
      <c r="Y664" s="227"/>
      <c r="Z664" s="227"/>
    </row>
    <row r="665" spans="7:26" ht="12.75" customHeight="1">
      <c r="G665" s="174"/>
      <c r="N665" s="192"/>
      <c r="O665" s="227"/>
      <c r="P665" s="227"/>
      <c r="Q665" s="227"/>
      <c r="R665" s="227"/>
      <c r="S665" s="227"/>
      <c r="T665" s="227"/>
      <c r="U665" s="227"/>
      <c r="V665" s="227"/>
      <c r="W665" s="227"/>
      <c r="X665" s="227"/>
      <c r="Y665" s="227"/>
      <c r="Z665" s="227"/>
    </row>
    <row r="666" spans="7:26" ht="12.75" customHeight="1">
      <c r="G666" s="174"/>
      <c r="N666" s="192"/>
      <c r="O666" s="227"/>
      <c r="P666" s="227"/>
      <c r="Q666" s="227"/>
      <c r="R666" s="227"/>
      <c r="S666" s="227"/>
      <c r="T666" s="227"/>
      <c r="U666" s="227"/>
      <c r="V666" s="227"/>
      <c r="W666" s="227"/>
      <c r="X666" s="227"/>
      <c r="Y666" s="227"/>
      <c r="Z666" s="227"/>
    </row>
    <row r="667" spans="7:26" ht="12.75" customHeight="1">
      <c r="G667" s="174"/>
      <c r="N667" s="192"/>
      <c r="O667" s="227"/>
      <c r="P667" s="227"/>
      <c r="Q667" s="227"/>
      <c r="R667" s="227"/>
      <c r="S667" s="227"/>
      <c r="T667" s="227"/>
      <c r="U667" s="227"/>
      <c r="V667" s="227"/>
      <c r="W667" s="227"/>
      <c r="X667" s="227"/>
      <c r="Y667" s="227"/>
      <c r="Z667" s="227"/>
    </row>
    <row r="668" spans="7:26" ht="12.75" customHeight="1">
      <c r="G668" s="174"/>
      <c r="N668" s="192"/>
      <c r="O668" s="227"/>
      <c r="P668" s="227"/>
      <c r="Q668" s="227"/>
      <c r="R668" s="227"/>
      <c r="S668" s="227"/>
      <c r="T668" s="227"/>
      <c r="U668" s="227"/>
      <c r="V668" s="227"/>
      <c r="W668" s="227"/>
      <c r="X668" s="227"/>
      <c r="Y668" s="227"/>
      <c r="Z668" s="227"/>
    </row>
    <row r="669" spans="7:26" ht="12.75" customHeight="1">
      <c r="G669" s="174"/>
      <c r="N669" s="192"/>
      <c r="O669" s="227"/>
      <c r="P669" s="227"/>
      <c r="Q669" s="227"/>
      <c r="R669" s="227"/>
      <c r="S669" s="227"/>
      <c r="T669" s="227"/>
      <c r="U669" s="227"/>
      <c r="V669" s="227"/>
      <c r="W669" s="227"/>
      <c r="X669" s="227"/>
      <c r="Y669" s="227"/>
      <c r="Z669" s="227"/>
    </row>
    <row r="670" spans="7:26" ht="12.75" customHeight="1">
      <c r="G670" s="174"/>
      <c r="N670" s="192"/>
      <c r="O670" s="227"/>
      <c r="P670" s="227"/>
      <c r="Q670" s="227"/>
      <c r="R670" s="227"/>
      <c r="S670" s="227"/>
      <c r="T670" s="227"/>
      <c r="U670" s="227"/>
      <c r="V670" s="227"/>
      <c r="W670" s="227"/>
      <c r="X670" s="227"/>
      <c r="Y670" s="227"/>
      <c r="Z670" s="227"/>
    </row>
    <row r="671" spans="7:26" ht="12.75" customHeight="1">
      <c r="G671" s="174"/>
      <c r="N671" s="192"/>
      <c r="O671" s="227"/>
      <c r="P671" s="227"/>
      <c r="Q671" s="227"/>
      <c r="R671" s="227"/>
      <c r="S671" s="227"/>
      <c r="T671" s="227"/>
      <c r="U671" s="227"/>
      <c r="V671" s="227"/>
      <c r="W671" s="227"/>
      <c r="X671" s="227"/>
      <c r="Y671" s="227"/>
      <c r="Z671" s="227"/>
    </row>
    <row r="672" spans="7:26" ht="12.75" customHeight="1">
      <c r="G672" s="174"/>
      <c r="N672" s="192"/>
      <c r="O672" s="227"/>
      <c r="P672" s="227"/>
      <c r="Q672" s="227"/>
      <c r="R672" s="227"/>
      <c r="S672" s="227"/>
      <c r="T672" s="227"/>
      <c r="U672" s="227"/>
      <c r="V672" s="227"/>
      <c r="W672" s="227"/>
      <c r="X672" s="227"/>
      <c r="Y672" s="227"/>
      <c r="Z672" s="227"/>
    </row>
    <row r="673" spans="7:26" ht="12.75" customHeight="1">
      <c r="G673" s="174"/>
      <c r="N673" s="192"/>
      <c r="O673" s="227"/>
      <c r="P673" s="227"/>
      <c r="Q673" s="227"/>
      <c r="R673" s="227"/>
      <c r="S673" s="227"/>
      <c r="T673" s="227"/>
      <c r="U673" s="227"/>
      <c r="V673" s="227"/>
      <c r="W673" s="227"/>
      <c r="X673" s="227"/>
      <c r="Y673" s="227"/>
      <c r="Z673" s="227"/>
    </row>
    <row r="674" spans="7:26" ht="12.75" customHeight="1">
      <c r="G674" s="174"/>
      <c r="N674" s="192"/>
      <c r="O674" s="227"/>
      <c r="P674" s="227"/>
      <c r="Q674" s="227"/>
      <c r="R674" s="227"/>
      <c r="S674" s="227"/>
      <c r="T674" s="227"/>
      <c r="U674" s="227"/>
      <c r="V674" s="227"/>
      <c r="W674" s="227"/>
      <c r="X674" s="227"/>
      <c r="Y674" s="227"/>
      <c r="Z674" s="227"/>
    </row>
    <row r="675" spans="7:26" ht="12.75" customHeight="1">
      <c r="G675" s="174"/>
      <c r="N675" s="192"/>
      <c r="O675" s="227"/>
      <c r="P675" s="227"/>
      <c r="Q675" s="227"/>
      <c r="R675" s="227"/>
      <c r="S675" s="227"/>
      <c r="T675" s="227"/>
      <c r="U675" s="227"/>
      <c r="V675" s="227"/>
      <c r="W675" s="227"/>
      <c r="X675" s="227"/>
      <c r="Y675" s="227"/>
      <c r="Z675" s="227"/>
    </row>
    <row r="676" spans="7:26" ht="12.75" customHeight="1">
      <c r="G676" s="174"/>
      <c r="N676" s="192"/>
      <c r="O676" s="227"/>
      <c r="P676" s="227"/>
      <c r="Q676" s="227"/>
      <c r="R676" s="227"/>
      <c r="S676" s="227"/>
      <c r="T676" s="227"/>
      <c r="U676" s="227"/>
      <c r="V676" s="227"/>
      <c r="W676" s="227"/>
      <c r="X676" s="227"/>
      <c r="Y676" s="227"/>
      <c r="Z676" s="227"/>
    </row>
    <row r="677" spans="7:26" ht="12.75" customHeight="1">
      <c r="G677" s="174"/>
      <c r="N677" s="192"/>
      <c r="O677" s="227"/>
      <c r="P677" s="227"/>
      <c r="Q677" s="227"/>
      <c r="R677" s="227"/>
      <c r="S677" s="227"/>
      <c r="T677" s="227"/>
      <c r="U677" s="227"/>
      <c r="V677" s="227"/>
      <c r="W677" s="227"/>
      <c r="X677" s="227"/>
      <c r="Y677" s="227"/>
      <c r="Z677" s="227"/>
    </row>
    <row r="678" spans="7:26" ht="12.75" customHeight="1">
      <c r="G678" s="174"/>
      <c r="N678" s="192"/>
      <c r="O678" s="227"/>
      <c r="P678" s="227"/>
      <c r="Q678" s="227"/>
      <c r="R678" s="227"/>
      <c r="S678" s="227"/>
      <c r="T678" s="227"/>
      <c r="U678" s="227"/>
      <c r="V678" s="227"/>
      <c r="W678" s="227"/>
      <c r="X678" s="227"/>
      <c r="Y678" s="227"/>
      <c r="Z678" s="227"/>
    </row>
    <row r="679" spans="7:26" ht="12.75" customHeight="1">
      <c r="G679" s="174"/>
      <c r="N679" s="192"/>
      <c r="O679" s="227"/>
      <c r="P679" s="227"/>
      <c r="Q679" s="227"/>
      <c r="R679" s="227"/>
      <c r="S679" s="227"/>
      <c r="T679" s="227"/>
      <c r="U679" s="227"/>
      <c r="V679" s="227"/>
      <c r="W679" s="227"/>
      <c r="X679" s="227"/>
      <c r="Y679" s="227"/>
      <c r="Z679" s="227"/>
    </row>
    <row r="680" spans="7:26" ht="12.75" customHeight="1">
      <c r="G680" s="174"/>
      <c r="N680" s="192"/>
      <c r="O680" s="227"/>
      <c r="P680" s="227"/>
      <c r="Q680" s="227"/>
      <c r="R680" s="227"/>
      <c r="S680" s="227"/>
      <c r="T680" s="227"/>
      <c r="U680" s="227"/>
      <c r="V680" s="227"/>
      <c r="W680" s="227"/>
      <c r="X680" s="227"/>
      <c r="Y680" s="227"/>
      <c r="Z680" s="227"/>
    </row>
    <row r="681" spans="7:26" ht="12.75" customHeight="1">
      <c r="G681" s="174"/>
      <c r="N681" s="192"/>
      <c r="O681" s="227"/>
      <c r="P681" s="227"/>
      <c r="Q681" s="227"/>
      <c r="R681" s="227"/>
      <c r="S681" s="227"/>
      <c r="T681" s="227"/>
      <c r="U681" s="227"/>
      <c r="V681" s="227"/>
      <c r="W681" s="227"/>
      <c r="X681" s="227"/>
      <c r="Y681" s="227"/>
      <c r="Z681" s="227"/>
    </row>
    <row r="682" spans="7:26" ht="12.75" customHeight="1">
      <c r="G682" s="174"/>
      <c r="N682" s="192"/>
      <c r="O682" s="227"/>
      <c r="P682" s="227"/>
      <c r="Q682" s="227"/>
      <c r="R682" s="227"/>
      <c r="S682" s="227"/>
      <c r="T682" s="227"/>
      <c r="U682" s="227"/>
      <c r="V682" s="227"/>
      <c r="W682" s="227"/>
      <c r="X682" s="227"/>
      <c r="Y682" s="227"/>
      <c r="Z682" s="227"/>
    </row>
    <row r="683" spans="7:26" ht="12.75" customHeight="1">
      <c r="G683" s="174"/>
      <c r="N683" s="192"/>
      <c r="O683" s="227"/>
      <c r="P683" s="227"/>
      <c r="Q683" s="227"/>
      <c r="R683" s="227"/>
      <c r="S683" s="227"/>
      <c r="T683" s="227"/>
      <c r="U683" s="227"/>
      <c r="V683" s="227"/>
      <c r="W683" s="227"/>
      <c r="X683" s="227"/>
      <c r="Y683" s="227"/>
      <c r="Z683" s="227"/>
    </row>
    <row r="684" spans="7:26" ht="12.75" customHeight="1">
      <c r="G684" s="174"/>
      <c r="N684" s="192"/>
      <c r="O684" s="227"/>
      <c r="P684" s="227"/>
      <c r="Q684" s="227"/>
      <c r="R684" s="227"/>
      <c r="S684" s="227"/>
      <c r="T684" s="227"/>
      <c r="U684" s="227"/>
      <c r="V684" s="227"/>
      <c r="W684" s="227"/>
      <c r="X684" s="227"/>
      <c r="Y684" s="227"/>
      <c r="Z684" s="227"/>
    </row>
    <row r="685" spans="7:26" ht="12.75" customHeight="1">
      <c r="G685" s="174"/>
      <c r="N685" s="192"/>
      <c r="O685" s="227"/>
      <c r="P685" s="227"/>
      <c r="Q685" s="227"/>
      <c r="R685" s="227"/>
      <c r="S685" s="227"/>
      <c r="T685" s="227"/>
      <c r="U685" s="227"/>
      <c r="V685" s="227"/>
      <c r="W685" s="227"/>
      <c r="X685" s="227"/>
      <c r="Y685" s="227"/>
      <c r="Z685" s="227"/>
    </row>
    <row r="686" spans="7:26" ht="12.75" customHeight="1">
      <c r="G686" s="174"/>
      <c r="N686" s="192"/>
      <c r="O686" s="227"/>
      <c r="P686" s="227"/>
      <c r="Q686" s="227"/>
      <c r="R686" s="227"/>
      <c r="S686" s="227"/>
      <c r="T686" s="227"/>
      <c r="U686" s="227"/>
      <c r="V686" s="227"/>
      <c r="W686" s="227"/>
      <c r="X686" s="227"/>
      <c r="Y686" s="227"/>
      <c r="Z686" s="227"/>
    </row>
    <row r="687" spans="7:26" ht="12.75" customHeight="1">
      <c r="G687" s="174"/>
      <c r="N687" s="192"/>
      <c r="O687" s="227"/>
      <c r="P687" s="227"/>
      <c r="Q687" s="227"/>
      <c r="R687" s="227"/>
      <c r="S687" s="227"/>
      <c r="T687" s="227"/>
      <c r="U687" s="227"/>
      <c r="V687" s="227"/>
      <c r="W687" s="227"/>
      <c r="X687" s="227"/>
      <c r="Y687" s="227"/>
      <c r="Z687" s="227"/>
    </row>
    <row r="688" spans="7:26" ht="12.75" customHeight="1">
      <c r="G688" s="174"/>
      <c r="N688" s="192"/>
      <c r="O688" s="227"/>
      <c r="P688" s="227"/>
      <c r="Q688" s="227"/>
      <c r="R688" s="227"/>
      <c r="S688" s="227"/>
      <c r="T688" s="227"/>
      <c r="U688" s="227"/>
      <c r="V688" s="227"/>
      <c r="W688" s="227"/>
      <c r="X688" s="227"/>
      <c r="Y688" s="227"/>
      <c r="Z688" s="227"/>
    </row>
    <row r="689" spans="7:26" ht="12.75" customHeight="1">
      <c r="G689" s="174"/>
      <c r="N689" s="192"/>
      <c r="O689" s="227"/>
      <c r="P689" s="227"/>
      <c r="Q689" s="227"/>
      <c r="R689" s="227"/>
      <c r="S689" s="227"/>
      <c r="T689" s="227"/>
      <c r="U689" s="227"/>
      <c r="V689" s="227"/>
      <c r="W689" s="227"/>
      <c r="X689" s="227"/>
      <c r="Y689" s="227"/>
      <c r="Z689" s="227"/>
    </row>
    <row r="690" spans="7:26" ht="12.75" customHeight="1">
      <c r="G690" s="174"/>
      <c r="N690" s="192"/>
      <c r="O690" s="227"/>
      <c r="P690" s="227"/>
      <c r="Q690" s="227"/>
      <c r="R690" s="227"/>
      <c r="S690" s="227"/>
      <c r="T690" s="227"/>
      <c r="U690" s="227"/>
      <c r="V690" s="227"/>
      <c r="W690" s="227"/>
      <c r="X690" s="227"/>
      <c r="Y690" s="227"/>
      <c r="Z690" s="227"/>
    </row>
    <row r="691" spans="7:26" ht="12.75" customHeight="1">
      <c r="G691" s="174"/>
      <c r="N691" s="192"/>
      <c r="O691" s="227"/>
      <c r="P691" s="227"/>
      <c r="Q691" s="227"/>
      <c r="R691" s="227"/>
      <c r="S691" s="227"/>
      <c r="T691" s="227"/>
      <c r="U691" s="227"/>
      <c r="V691" s="227"/>
      <c r="W691" s="227"/>
      <c r="X691" s="227"/>
      <c r="Y691" s="227"/>
      <c r="Z691" s="227"/>
    </row>
    <row r="692" spans="7:26" ht="12.75" customHeight="1">
      <c r="G692" s="174"/>
      <c r="N692" s="192"/>
      <c r="O692" s="227"/>
      <c r="P692" s="227"/>
      <c r="Q692" s="227"/>
      <c r="R692" s="227"/>
      <c r="S692" s="227"/>
      <c r="T692" s="227"/>
      <c r="U692" s="227"/>
      <c r="V692" s="227"/>
      <c r="W692" s="227"/>
      <c r="X692" s="227"/>
      <c r="Y692" s="227"/>
      <c r="Z692" s="227"/>
    </row>
    <row r="693" spans="7:26" ht="12.75" customHeight="1">
      <c r="G693" s="174"/>
      <c r="N693" s="192"/>
      <c r="O693" s="227"/>
      <c r="P693" s="227"/>
      <c r="Q693" s="227"/>
      <c r="R693" s="227"/>
      <c r="S693" s="227"/>
      <c r="T693" s="227"/>
      <c r="U693" s="227"/>
      <c r="V693" s="227"/>
      <c r="W693" s="227"/>
      <c r="X693" s="227"/>
      <c r="Y693" s="227"/>
      <c r="Z693" s="227"/>
    </row>
    <row r="694" spans="7:26" ht="12.75" customHeight="1">
      <c r="G694" s="174"/>
      <c r="N694" s="192"/>
      <c r="O694" s="227"/>
      <c r="P694" s="227"/>
      <c r="Q694" s="227"/>
      <c r="R694" s="227"/>
      <c r="S694" s="227"/>
      <c r="T694" s="227"/>
      <c r="U694" s="227"/>
      <c r="V694" s="227"/>
      <c r="W694" s="227"/>
      <c r="X694" s="227"/>
      <c r="Y694" s="227"/>
      <c r="Z694" s="227"/>
    </row>
    <row r="695" spans="7:26" ht="12.75" customHeight="1">
      <c r="G695" s="174"/>
      <c r="N695" s="192"/>
      <c r="O695" s="227"/>
      <c r="P695" s="227"/>
      <c r="Q695" s="227"/>
      <c r="R695" s="227"/>
      <c r="S695" s="227"/>
      <c r="T695" s="227"/>
      <c r="U695" s="227"/>
      <c r="V695" s="227"/>
      <c r="W695" s="227"/>
      <c r="X695" s="227"/>
      <c r="Y695" s="227"/>
      <c r="Z695" s="227"/>
    </row>
    <row r="696" spans="7:26" ht="12.75" customHeight="1">
      <c r="G696" s="174"/>
      <c r="N696" s="192"/>
      <c r="O696" s="227"/>
      <c r="P696" s="227"/>
      <c r="Q696" s="227"/>
      <c r="R696" s="227"/>
      <c r="S696" s="227"/>
      <c r="T696" s="227"/>
      <c r="U696" s="227"/>
      <c r="V696" s="227"/>
      <c r="W696" s="227"/>
      <c r="X696" s="227"/>
      <c r="Y696" s="227"/>
      <c r="Z696" s="227"/>
    </row>
    <row r="697" spans="7:26" ht="12.75" customHeight="1">
      <c r="G697" s="174"/>
      <c r="N697" s="192"/>
      <c r="O697" s="227"/>
      <c r="P697" s="227"/>
      <c r="Q697" s="227"/>
      <c r="R697" s="227"/>
      <c r="S697" s="227"/>
      <c r="T697" s="227"/>
      <c r="U697" s="227"/>
      <c r="V697" s="227"/>
      <c r="W697" s="227"/>
      <c r="X697" s="227"/>
      <c r="Y697" s="227"/>
      <c r="Z697" s="227"/>
    </row>
    <row r="698" spans="7:26" ht="12.75" customHeight="1">
      <c r="G698" s="174"/>
      <c r="N698" s="192"/>
      <c r="O698" s="227"/>
      <c r="P698" s="227"/>
      <c r="Q698" s="227"/>
      <c r="R698" s="227"/>
      <c r="S698" s="227"/>
      <c r="T698" s="227"/>
      <c r="U698" s="227"/>
      <c r="V698" s="227"/>
      <c r="W698" s="227"/>
      <c r="X698" s="227"/>
      <c r="Y698" s="227"/>
      <c r="Z698" s="227"/>
    </row>
    <row r="699" spans="7:26" ht="12.75" customHeight="1">
      <c r="G699" s="174"/>
      <c r="N699" s="192"/>
      <c r="O699" s="227"/>
      <c r="P699" s="227"/>
      <c r="Q699" s="227"/>
      <c r="R699" s="227"/>
      <c r="S699" s="227"/>
      <c r="T699" s="227"/>
      <c r="U699" s="227"/>
      <c r="V699" s="227"/>
      <c r="W699" s="227"/>
      <c r="X699" s="227"/>
      <c r="Y699" s="227"/>
      <c r="Z699" s="227"/>
    </row>
    <row r="700" spans="7:26" ht="12.75" customHeight="1">
      <c r="G700" s="174"/>
      <c r="N700" s="192"/>
      <c r="O700" s="227"/>
      <c r="P700" s="227"/>
      <c r="Q700" s="227"/>
      <c r="R700" s="227"/>
      <c r="S700" s="227"/>
      <c r="T700" s="227"/>
      <c r="U700" s="227"/>
      <c r="V700" s="227"/>
      <c r="W700" s="227"/>
      <c r="X700" s="227"/>
      <c r="Y700" s="227"/>
      <c r="Z700" s="227"/>
    </row>
    <row r="701" spans="7:26" ht="12.75" customHeight="1">
      <c r="G701" s="174"/>
      <c r="N701" s="192"/>
      <c r="O701" s="227"/>
      <c r="P701" s="227"/>
      <c r="Q701" s="227"/>
      <c r="R701" s="227"/>
      <c r="S701" s="227"/>
      <c r="T701" s="227"/>
      <c r="U701" s="227"/>
      <c r="V701" s="227"/>
      <c r="W701" s="227"/>
      <c r="X701" s="227"/>
      <c r="Y701" s="227"/>
      <c r="Z701" s="227"/>
    </row>
    <row r="702" spans="7:26" ht="12.75" customHeight="1">
      <c r="G702" s="174"/>
      <c r="N702" s="192"/>
      <c r="O702" s="227"/>
      <c r="P702" s="227"/>
      <c r="Q702" s="227"/>
      <c r="R702" s="227"/>
      <c r="S702" s="227"/>
      <c r="T702" s="227"/>
      <c r="U702" s="227"/>
      <c r="V702" s="227"/>
      <c r="W702" s="227"/>
      <c r="X702" s="227"/>
      <c r="Y702" s="227"/>
      <c r="Z702" s="227"/>
    </row>
    <row r="703" spans="7:26" ht="12.75" customHeight="1">
      <c r="G703" s="174"/>
      <c r="N703" s="192"/>
      <c r="O703" s="227"/>
      <c r="P703" s="227"/>
      <c r="Q703" s="227"/>
      <c r="R703" s="227"/>
      <c r="S703" s="227"/>
      <c r="T703" s="227"/>
      <c r="U703" s="227"/>
      <c r="V703" s="227"/>
      <c r="W703" s="227"/>
      <c r="X703" s="227"/>
      <c r="Y703" s="227"/>
      <c r="Z703" s="227"/>
    </row>
    <row r="704" spans="7:26" ht="12.75" customHeight="1">
      <c r="G704" s="174"/>
      <c r="N704" s="192"/>
      <c r="O704" s="227"/>
      <c r="P704" s="227"/>
      <c r="Q704" s="227"/>
      <c r="R704" s="227"/>
      <c r="S704" s="227"/>
      <c r="T704" s="227"/>
      <c r="U704" s="227"/>
      <c r="V704" s="227"/>
      <c r="W704" s="227"/>
      <c r="X704" s="227"/>
      <c r="Y704" s="227"/>
      <c r="Z704" s="227"/>
    </row>
    <row r="705" spans="7:26" ht="12.75" customHeight="1">
      <c r="G705" s="174"/>
      <c r="N705" s="192"/>
      <c r="O705" s="227"/>
      <c r="P705" s="227"/>
      <c r="Q705" s="227"/>
      <c r="R705" s="227"/>
      <c r="S705" s="227"/>
      <c r="T705" s="227"/>
      <c r="U705" s="227"/>
      <c r="V705" s="227"/>
      <c r="W705" s="227"/>
      <c r="X705" s="227"/>
      <c r="Y705" s="227"/>
      <c r="Z705" s="227"/>
    </row>
    <row r="706" spans="7:26" ht="12.75" customHeight="1">
      <c r="G706" s="174"/>
      <c r="N706" s="192"/>
      <c r="O706" s="227"/>
      <c r="P706" s="227"/>
      <c r="Q706" s="227"/>
      <c r="R706" s="227"/>
      <c r="S706" s="227"/>
      <c r="T706" s="227"/>
      <c r="U706" s="227"/>
      <c r="V706" s="227"/>
      <c r="W706" s="227"/>
      <c r="X706" s="227"/>
      <c r="Y706" s="227"/>
      <c r="Z706" s="227"/>
    </row>
    <row r="707" spans="7:26" ht="12.75" customHeight="1">
      <c r="G707" s="174"/>
      <c r="N707" s="192"/>
      <c r="O707" s="227"/>
      <c r="P707" s="227"/>
      <c r="Q707" s="227"/>
      <c r="R707" s="227"/>
      <c r="S707" s="227"/>
      <c r="T707" s="227"/>
      <c r="U707" s="227"/>
      <c r="V707" s="227"/>
      <c r="W707" s="227"/>
      <c r="X707" s="227"/>
      <c r="Y707" s="227"/>
      <c r="Z707" s="227"/>
    </row>
    <row r="708" spans="7:26" ht="12.75" customHeight="1">
      <c r="G708" s="174"/>
      <c r="N708" s="192"/>
      <c r="O708" s="227"/>
      <c r="P708" s="227"/>
      <c r="Q708" s="227"/>
      <c r="R708" s="227"/>
      <c r="S708" s="227"/>
      <c r="T708" s="227"/>
      <c r="U708" s="227"/>
      <c r="V708" s="227"/>
      <c r="W708" s="227"/>
      <c r="X708" s="227"/>
      <c r="Y708" s="227"/>
      <c r="Z708" s="227"/>
    </row>
    <row r="709" spans="7:26" ht="12.75" customHeight="1">
      <c r="G709" s="174"/>
      <c r="N709" s="192"/>
      <c r="O709" s="227"/>
      <c r="P709" s="227"/>
      <c r="Q709" s="227"/>
      <c r="R709" s="227"/>
      <c r="S709" s="227"/>
      <c r="T709" s="227"/>
      <c r="U709" s="227"/>
      <c r="V709" s="227"/>
      <c r="W709" s="227"/>
      <c r="X709" s="227"/>
      <c r="Y709" s="227"/>
      <c r="Z709" s="227"/>
    </row>
    <row r="710" spans="7:26" ht="12.75" customHeight="1">
      <c r="G710" s="174"/>
      <c r="N710" s="192"/>
      <c r="O710" s="227"/>
      <c r="P710" s="227"/>
      <c r="Q710" s="227"/>
      <c r="R710" s="227"/>
      <c r="S710" s="227"/>
      <c r="T710" s="227"/>
      <c r="U710" s="227"/>
      <c r="V710" s="227"/>
      <c r="W710" s="227"/>
      <c r="X710" s="227"/>
      <c r="Y710" s="227"/>
      <c r="Z710" s="227"/>
    </row>
    <row r="711" spans="7:26" ht="12.75" customHeight="1">
      <c r="G711" s="174"/>
      <c r="N711" s="192"/>
      <c r="O711" s="227"/>
      <c r="P711" s="227"/>
      <c r="Q711" s="227"/>
      <c r="R711" s="227"/>
      <c r="S711" s="227"/>
      <c r="T711" s="227"/>
      <c r="U711" s="227"/>
      <c r="V711" s="227"/>
      <c r="W711" s="227"/>
      <c r="X711" s="227"/>
      <c r="Y711" s="227"/>
      <c r="Z711" s="227"/>
    </row>
    <row r="712" spans="7:26" ht="12.75" customHeight="1">
      <c r="G712" s="174"/>
      <c r="N712" s="192"/>
      <c r="O712" s="227"/>
      <c r="P712" s="227"/>
      <c r="Q712" s="227"/>
      <c r="R712" s="227"/>
      <c r="S712" s="227"/>
      <c r="T712" s="227"/>
      <c r="U712" s="227"/>
      <c r="V712" s="227"/>
      <c r="W712" s="227"/>
      <c r="X712" s="227"/>
      <c r="Y712" s="227"/>
      <c r="Z712" s="227"/>
    </row>
    <row r="713" spans="7:26" ht="12.75" customHeight="1">
      <c r="G713" s="174"/>
      <c r="N713" s="192"/>
      <c r="O713" s="227"/>
      <c r="P713" s="227"/>
      <c r="Q713" s="227"/>
      <c r="R713" s="227"/>
      <c r="S713" s="227"/>
      <c r="T713" s="227"/>
      <c r="U713" s="227"/>
      <c r="V713" s="227"/>
      <c r="W713" s="227"/>
      <c r="X713" s="227"/>
      <c r="Y713" s="227"/>
      <c r="Z713" s="227"/>
    </row>
    <row r="714" spans="7:26" ht="12.75" customHeight="1">
      <c r="G714" s="174"/>
      <c r="N714" s="192"/>
      <c r="O714" s="227"/>
      <c r="P714" s="227"/>
      <c r="Q714" s="227"/>
      <c r="R714" s="227"/>
      <c r="S714" s="227"/>
      <c r="T714" s="227"/>
      <c r="U714" s="227"/>
      <c r="V714" s="227"/>
      <c r="W714" s="227"/>
      <c r="X714" s="227"/>
      <c r="Y714" s="227"/>
      <c r="Z714" s="227"/>
    </row>
    <row r="715" spans="7:26" ht="12.75" customHeight="1">
      <c r="G715" s="174"/>
      <c r="N715" s="192"/>
      <c r="O715" s="227"/>
      <c r="P715" s="227"/>
      <c r="Q715" s="227"/>
      <c r="R715" s="227"/>
      <c r="S715" s="227"/>
      <c r="T715" s="227"/>
      <c r="U715" s="227"/>
      <c r="V715" s="227"/>
      <c r="W715" s="227"/>
      <c r="X715" s="227"/>
      <c r="Y715" s="227"/>
      <c r="Z715" s="227"/>
    </row>
    <row r="716" spans="7:26" ht="12.75" customHeight="1">
      <c r="G716" s="174"/>
      <c r="N716" s="192"/>
      <c r="O716" s="227"/>
      <c r="P716" s="227"/>
      <c r="Q716" s="227"/>
      <c r="R716" s="227"/>
      <c r="S716" s="227"/>
      <c r="T716" s="227"/>
      <c r="U716" s="227"/>
      <c r="V716" s="227"/>
      <c r="W716" s="227"/>
      <c r="X716" s="227"/>
      <c r="Y716" s="227"/>
      <c r="Z716" s="227"/>
    </row>
    <row r="717" spans="7:26" ht="12.75" customHeight="1">
      <c r="G717" s="174"/>
      <c r="N717" s="192"/>
      <c r="O717" s="227"/>
      <c r="P717" s="227"/>
      <c r="Q717" s="227"/>
      <c r="R717" s="227"/>
      <c r="S717" s="227"/>
      <c r="T717" s="227"/>
      <c r="U717" s="227"/>
      <c r="V717" s="227"/>
      <c r="W717" s="227"/>
      <c r="X717" s="227"/>
      <c r="Y717" s="227"/>
      <c r="Z717" s="227"/>
    </row>
    <row r="718" spans="7:26" ht="12.75" customHeight="1">
      <c r="G718" s="174"/>
      <c r="N718" s="192"/>
      <c r="O718" s="227"/>
      <c r="P718" s="227"/>
      <c r="Q718" s="227"/>
      <c r="R718" s="227"/>
      <c r="S718" s="227"/>
      <c r="T718" s="227"/>
      <c r="U718" s="227"/>
      <c r="V718" s="227"/>
      <c r="W718" s="227"/>
      <c r="X718" s="227"/>
      <c r="Y718" s="227"/>
      <c r="Z718" s="227"/>
    </row>
    <row r="719" spans="7:26" ht="12.75" customHeight="1">
      <c r="G719" s="174"/>
      <c r="N719" s="192"/>
      <c r="O719" s="227"/>
      <c r="P719" s="227"/>
      <c r="Q719" s="227"/>
      <c r="R719" s="227"/>
      <c r="S719" s="227"/>
      <c r="T719" s="227"/>
      <c r="U719" s="227"/>
      <c r="V719" s="227"/>
      <c r="W719" s="227"/>
      <c r="X719" s="227"/>
      <c r="Y719" s="227"/>
      <c r="Z719" s="227"/>
    </row>
    <row r="720" spans="7:26" ht="12.75" customHeight="1">
      <c r="G720" s="174"/>
      <c r="N720" s="192"/>
      <c r="O720" s="227"/>
      <c r="P720" s="227"/>
      <c r="Q720" s="227"/>
      <c r="R720" s="227"/>
      <c r="S720" s="227"/>
      <c r="T720" s="227"/>
      <c r="U720" s="227"/>
      <c r="V720" s="227"/>
      <c r="W720" s="227"/>
      <c r="X720" s="227"/>
      <c r="Y720" s="227"/>
      <c r="Z720" s="227"/>
    </row>
    <row r="721" spans="7:26" ht="12.75" customHeight="1">
      <c r="G721" s="174"/>
      <c r="N721" s="192"/>
      <c r="O721" s="227"/>
      <c r="P721" s="227"/>
      <c r="Q721" s="227"/>
      <c r="R721" s="227"/>
      <c r="S721" s="227"/>
      <c r="T721" s="227"/>
      <c r="U721" s="227"/>
      <c r="V721" s="227"/>
      <c r="W721" s="227"/>
      <c r="X721" s="227"/>
      <c r="Y721" s="227"/>
      <c r="Z721" s="227"/>
    </row>
    <row r="722" spans="7:26" ht="12.75" customHeight="1">
      <c r="G722" s="174"/>
      <c r="N722" s="192"/>
      <c r="O722" s="227"/>
      <c r="P722" s="227"/>
      <c r="Q722" s="227"/>
      <c r="R722" s="227"/>
      <c r="S722" s="227"/>
      <c r="T722" s="227"/>
      <c r="U722" s="227"/>
      <c r="V722" s="227"/>
      <c r="W722" s="227"/>
      <c r="X722" s="227"/>
      <c r="Y722" s="227"/>
      <c r="Z722" s="227"/>
    </row>
    <row r="723" spans="7:26" ht="12.75" customHeight="1">
      <c r="G723" s="174"/>
      <c r="N723" s="192"/>
      <c r="O723" s="227"/>
      <c r="P723" s="227"/>
      <c r="Q723" s="227"/>
      <c r="R723" s="227"/>
      <c r="S723" s="227"/>
      <c r="T723" s="227"/>
      <c r="U723" s="227"/>
      <c r="V723" s="227"/>
      <c r="W723" s="227"/>
      <c r="X723" s="227"/>
      <c r="Y723" s="227"/>
      <c r="Z723" s="227"/>
    </row>
    <row r="724" spans="7:26" ht="12.75" customHeight="1">
      <c r="G724" s="174"/>
      <c r="N724" s="192"/>
      <c r="O724" s="227"/>
      <c r="P724" s="227"/>
      <c r="Q724" s="227"/>
      <c r="R724" s="227"/>
      <c r="S724" s="227"/>
      <c r="T724" s="227"/>
      <c r="U724" s="227"/>
      <c r="V724" s="227"/>
      <c r="W724" s="227"/>
      <c r="X724" s="227"/>
      <c r="Y724" s="227"/>
      <c r="Z724" s="227"/>
    </row>
    <row r="725" spans="7:26" ht="12.75" customHeight="1">
      <c r="G725" s="174"/>
      <c r="N725" s="192"/>
      <c r="O725" s="227"/>
      <c r="P725" s="227"/>
      <c r="Q725" s="227"/>
      <c r="R725" s="227"/>
      <c r="S725" s="227"/>
      <c r="T725" s="227"/>
      <c r="U725" s="227"/>
      <c r="V725" s="227"/>
      <c r="W725" s="227"/>
      <c r="X725" s="227"/>
      <c r="Y725" s="227"/>
      <c r="Z725" s="227"/>
    </row>
    <row r="726" spans="7:26" ht="12.75" customHeight="1">
      <c r="G726" s="174"/>
      <c r="N726" s="192"/>
      <c r="O726" s="227"/>
      <c r="P726" s="227"/>
      <c r="Q726" s="227"/>
      <c r="R726" s="227"/>
      <c r="S726" s="227"/>
      <c r="T726" s="227"/>
      <c r="U726" s="227"/>
      <c r="V726" s="227"/>
      <c r="W726" s="227"/>
      <c r="X726" s="227"/>
      <c r="Y726" s="227"/>
      <c r="Z726" s="227"/>
    </row>
    <row r="727" spans="7:26" ht="12.75" customHeight="1">
      <c r="G727" s="174"/>
      <c r="N727" s="192"/>
      <c r="O727" s="227"/>
      <c r="P727" s="227"/>
      <c r="Q727" s="227"/>
      <c r="R727" s="227"/>
      <c r="S727" s="227"/>
      <c r="T727" s="227"/>
      <c r="U727" s="227"/>
      <c r="V727" s="227"/>
      <c r="W727" s="227"/>
      <c r="X727" s="227"/>
      <c r="Y727" s="227"/>
      <c r="Z727" s="227"/>
    </row>
    <row r="728" spans="7:26" ht="12.75" customHeight="1">
      <c r="G728" s="174"/>
      <c r="N728" s="192"/>
      <c r="O728" s="227"/>
      <c r="P728" s="227"/>
      <c r="Q728" s="227"/>
      <c r="R728" s="227"/>
      <c r="S728" s="227"/>
      <c r="T728" s="227"/>
      <c r="U728" s="227"/>
      <c r="V728" s="227"/>
      <c r="W728" s="227"/>
      <c r="X728" s="227"/>
      <c r="Y728" s="227"/>
      <c r="Z728" s="227"/>
    </row>
    <row r="729" spans="7:26" ht="12.75" customHeight="1">
      <c r="G729" s="174"/>
      <c r="N729" s="192"/>
      <c r="O729" s="227"/>
      <c r="P729" s="227"/>
      <c r="Q729" s="227"/>
      <c r="R729" s="227"/>
      <c r="S729" s="227"/>
      <c r="T729" s="227"/>
      <c r="U729" s="227"/>
      <c r="V729" s="227"/>
      <c r="W729" s="227"/>
      <c r="X729" s="227"/>
      <c r="Y729" s="227"/>
      <c r="Z729" s="227"/>
    </row>
    <row r="730" spans="7:26" ht="12.75" customHeight="1">
      <c r="G730" s="174"/>
      <c r="N730" s="192"/>
      <c r="O730" s="227"/>
      <c r="P730" s="227"/>
      <c r="Q730" s="227"/>
      <c r="R730" s="227"/>
      <c r="S730" s="227"/>
      <c r="T730" s="227"/>
      <c r="U730" s="227"/>
      <c r="V730" s="227"/>
      <c r="W730" s="227"/>
      <c r="X730" s="227"/>
      <c r="Y730" s="227"/>
      <c r="Z730" s="227"/>
    </row>
    <row r="731" spans="7:26" ht="12.75" customHeight="1">
      <c r="G731" s="174"/>
      <c r="N731" s="192"/>
      <c r="O731" s="227"/>
      <c r="P731" s="227"/>
      <c r="Q731" s="227"/>
      <c r="R731" s="227"/>
      <c r="S731" s="227"/>
      <c r="T731" s="227"/>
      <c r="U731" s="227"/>
      <c r="V731" s="227"/>
      <c r="W731" s="227"/>
      <c r="X731" s="227"/>
      <c r="Y731" s="227"/>
      <c r="Z731" s="227"/>
    </row>
    <row r="732" spans="7:26" ht="12.75" customHeight="1">
      <c r="G732" s="174"/>
      <c r="N732" s="192"/>
      <c r="O732" s="227"/>
      <c r="P732" s="227"/>
      <c r="Q732" s="227"/>
      <c r="R732" s="227"/>
      <c r="S732" s="227"/>
      <c r="T732" s="227"/>
      <c r="U732" s="227"/>
      <c r="V732" s="227"/>
      <c r="W732" s="227"/>
      <c r="X732" s="227"/>
      <c r="Y732" s="227"/>
      <c r="Z732" s="227"/>
    </row>
    <row r="733" spans="7:26" ht="12.75" customHeight="1">
      <c r="G733" s="174"/>
      <c r="N733" s="192"/>
      <c r="O733" s="227"/>
      <c r="P733" s="227"/>
      <c r="Q733" s="227"/>
      <c r="R733" s="227"/>
      <c r="S733" s="227"/>
      <c r="T733" s="227"/>
      <c r="U733" s="227"/>
      <c r="V733" s="227"/>
      <c r="W733" s="227"/>
      <c r="X733" s="227"/>
      <c r="Y733" s="227"/>
      <c r="Z733" s="227"/>
    </row>
    <row r="734" spans="7:26" ht="12.75" customHeight="1">
      <c r="G734" s="174"/>
      <c r="N734" s="192"/>
      <c r="O734" s="227"/>
      <c r="P734" s="227"/>
      <c r="Q734" s="227"/>
      <c r="R734" s="227"/>
      <c r="S734" s="227"/>
      <c r="T734" s="227"/>
      <c r="U734" s="227"/>
      <c r="V734" s="227"/>
      <c r="W734" s="227"/>
      <c r="X734" s="227"/>
      <c r="Y734" s="227"/>
      <c r="Z734" s="227"/>
    </row>
    <row r="735" spans="7:26" ht="12.75" customHeight="1">
      <c r="G735" s="174"/>
      <c r="N735" s="192"/>
      <c r="O735" s="227"/>
      <c r="P735" s="227"/>
      <c r="Q735" s="227"/>
      <c r="R735" s="227"/>
      <c r="S735" s="227"/>
      <c r="T735" s="227"/>
      <c r="U735" s="227"/>
      <c r="V735" s="227"/>
      <c r="W735" s="227"/>
      <c r="X735" s="227"/>
      <c r="Y735" s="227"/>
      <c r="Z735" s="227"/>
    </row>
    <row r="736" spans="7:26" ht="12.75" customHeight="1">
      <c r="G736" s="174"/>
      <c r="N736" s="192"/>
      <c r="O736" s="227"/>
      <c r="P736" s="227"/>
      <c r="Q736" s="227"/>
      <c r="R736" s="227"/>
      <c r="S736" s="227"/>
      <c r="T736" s="227"/>
      <c r="U736" s="227"/>
      <c r="V736" s="227"/>
      <c r="W736" s="227"/>
      <c r="X736" s="227"/>
      <c r="Y736" s="227"/>
      <c r="Z736" s="227"/>
    </row>
    <row r="737" spans="7:26" ht="12.75" customHeight="1">
      <c r="G737" s="174"/>
      <c r="N737" s="192"/>
      <c r="O737" s="227"/>
      <c r="P737" s="227"/>
      <c r="Q737" s="227"/>
      <c r="R737" s="227"/>
      <c r="S737" s="227"/>
      <c r="T737" s="227"/>
      <c r="U737" s="227"/>
      <c r="V737" s="227"/>
      <c r="W737" s="227"/>
      <c r="X737" s="227"/>
      <c r="Y737" s="227"/>
      <c r="Z737" s="227"/>
    </row>
    <row r="738" spans="7:26" ht="12.75" customHeight="1">
      <c r="G738" s="174"/>
      <c r="N738" s="192"/>
      <c r="O738" s="227"/>
      <c r="P738" s="227"/>
      <c r="Q738" s="227"/>
      <c r="R738" s="227"/>
      <c r="S738" s="227"/>
      <c r="T738" s="227"/>
      <c r="U738" s="227"/>
      <c r="V738" s="227"/>
      <c r="W738" s="227"/>
      <c r="X738" s="227"/>
      <c r="Y738" s="227"/>
      <c r="Z738" s="227"/>
    </row>
    <row r="739" spans="7:26" ht="12.75" customHeight="1">
      <c r="G739" s="174"/>
      <c r="N739" s="192"/>
      <c r="O739" s="227"/>
      <c r="P739" s="227"/>
      <c r="Q739" s="227"/>
      <c r="R739" s="227"/>
      <c r="S739" s="227"/>
      <c r="T739" s="227"/>
      <c r="U739" s="227"/>
      <c r="V739" s="227"/>
      <c r="W739" s="227"/>
      <c r="X739" s="227"/>
      <c r="Y739" s="227"/>
      <c r="Z739" s="227"/>
    </row>
    <row r="740" spans="7:26" ht="12.75" customHeight="1">
      <c r="G740" s="174"/>
      <c r="N740" s="192"/>
      <c r="O740" s="227"/>
      <c r="P740" s="227"/>
      <c r="Q740" s="227"/>
      <c r="R740" s="227"/>
      <c r="S740" s="227"/>
      <c r="T740" s="227"/>
      <c r="U740" s="227"/>
      <c r="V740" s="227"/>
      <c r="W740" s="227"/>
      <c r="X740" s="227"/>
      <c r="Y740" s="227"/>
      <c r="Z740" s="227"/>
    </row>
    <row r="741" spans="7:26" ht="12.75" customHeight="1">
      <c r="G741" s="174"/>
      <c r="N741" s="192"/>
      <c r="O741" s="227"/>
      <c r="P741" s="227"/>
      <c r="Q741" s="227"/>
      <c r="R741" s="227"/>
      <c r="S741" s="227"/>
      <c r="T741" s="227"/>
      <c r="U741" s="227"/>
      <c r="V741" s="227"/>
      <c r="W741" s="227"/>
      <c r="X741" s="227"/>
      <c r="Y741" s="227"/>
      <c r="Z741" s="227"/>
    </row>
    <row r="742" spans="7:26" ht="12.75" customHeight="1">
      <c r="G742" s="174"/>
      <c r="N742" s="192"/>
      <c r="O742" s="227"/>
      <c r="P742" s="227"/>
      <c r="Q742" s="227"/>
      <c r="R742" s="227"/>
      <c r="S742" s="227"/>
      <c r="T742" s="227"/>
      <c r="U742" s="227"/>
      <c r="V742" s="227"/>
      <c r="W742" s="227"/>
      <c r="X742" s="227"/>
      <c r="Y742" s="227"/>
      <c r="Z742" s="227"/>
    </row>
    <row r="743" spans="7:26" ht="12.75" customHeight="1">
      <c r="G743" s="174"/>
      <c r="N743" s="192"/>
      <c r="O743" s="227"/>
      <c r="P743" s="227"/>
      <c r="Q743" s="227"/>
      <c r="R743" s="227"/>
      <c r="S743" s="227"/>
      <c r="T743" s="227"/>
      <c r="U743" s="227"/>
      <c r="V743" s="227"/>
      <c r="W743" s="227"/>
      <c r="X743" s="227"/>
      <c r="Y743" s="227"/>
      <c r="Z743" s="227"/>
    </row>
    <row r="744" spans="7:26" ht="12.75" customHeight="1">
      <c r="G744" s="174"/>
      <c r="N744" s="192"/>
      <c r="O744" s="227"/>
      <c r="P744" s="227"/>
      <c r="Q744" s="227"/>
      <c r="R744" s="227"/>
      <c r="S744" s="227"/>
      <c r="T744" s="227"/>
      <c r="U744" s="227"/>
      <c r="V744" s="227"/>
      <c r="W744" s="227"/>
      <c r="X744" s="227"/>
      <c r="Y744" s="227"/>
      <c r="Z744" s="227"/>
    </row>
    <row r="745" spans="7:26" ht="12.75" customHeight="1">
      <c r="G745" s="174"/>
      <c r="N745" s="192"/>
      <c r="O745" s="227"/>
      <c r="P745" s="227"/>
      <c r="Q745" s="227"/>
      <c r="R745" s="227"/>
      <c r="S745" s="227"/>
      <c r="T745" s="227"/>
      <c r="U745" s="227"/>
      <c r="V745" s="227"/>
      <c r="W745" s="227"/>
      <c r="X745" s="227"/>
      <c r="Y745" s="227"/>
      <c r="Z745" s="227"/>
    </row>
    <row r="746" spans="7:26" ht="12.75" customHeight="1">
      <c r="G746" s="174"/>
      <c r="N746" s="192"/>
      <c r="O746" s="227"/>
      <c r="P746" s="227"/>
      <c r="Q746" s="227"/>
      <c r="R746" s="227"/>
      <c r="S746" s="227"/>
      <c r="T746" s="227"/>
      <c r="U746" s="227"/>
      <c r="V746" s="227"/>
      <c r="W746" s="227"/>
      <c r="X746" s="227"/>
      <c r="Y746" s="227"/>
      <c r="Z746" s="227"/>
    </row>
    <row r="747" spans="7:26" ht="12.75" customHeight="1">
      <c r="G747" s="174"/>
      <c r="N747" s="192"/>
      <c r="O747" s="227"/>
      <c r="P747" s="227"/>
      <c r="Q747" s="227"/>
      <c r="R747" s="227"/>
      <c r="S747" s="227"/>
      <c r="T747" s="227"/>
      <c r="U747" s="227"/>
      <c r="V747" s="227"/>
      <c r="W747" s="227"/>
      <c r="X747" s="227"/>
      <c r="Y747" s="227"/>
      <c r="Z747" s="227"/>
    </row>
    <row r="748" spans="7:26" ht="12.75" customHeight="1">
      <c r="G748" s="174"/>
      <c r="N748" s="192"/>
      <c r="O748" s="227"/>
      <c r="P748" s="227"/>
      <c r="Q748" s="227"/>
      <c r="R748" s="227"/>
      <c r="S748" s="227"/>
      <c r="T748" s="227"/>
      <c r="U748" s="227"/>
      <c r="V748" s="227"/>
      <c r="W748" s="227"/>
      <c r="X748" s="227"/>
      <c r="Y748" s="227"/>
      <c r="Z748" s="227"/>
    </row>
    <row r="749" spans="7:26" ht="12.75" customHeight="1">
      <c r="G749" s="174"/>
      <c r="N749" s="192"/>
      <c r="O749" s="227"/>
      <c r="P749" s="227"/>
      <c r="Q749" s="227"/>
      <c r="R749" s="227"/>
      <c r="S749" s="227"/>
      <c r="T749" s="227"/>
      <c r="U749" s="227"/>
      <c r="V749" s="227"/>
      <c r="W749" s="227"/>
      <c r="X749" s="227"/>
      <c r="Y749" s="227"/>
      <c r="Z749" s="227"/>
    </row>
    <row r="750" spans="7:26" ht="12.75" customHeight="1">
      <c r="G750" s="174"/>
      <c r="N750" s="192"/>
      <c r="O750" s="227"/>
      <c r="P750" s="227"/>
      <c r="Q750" s="227"/>
      <c r="R750" s="227"/>
      <c r="S750" s="227"/>
      <c r="T750" s="227"/>
      <c r="U750" s="227"/>
      <c r="V750" s="227"/>
      <c r="W750" s="227"/>
      <c r="X750" s="227"/>
      <c r="Y750" s="227"/>
      <c r="Z750" s="227"/>
    </row>
    <row r="751" spans="7:26" ht="12.75" customHeight="1">
      <c r="G751" s="174"/>
      <c r="N751" s="192"/>
      <c r="O751" s="227"/>
      <c r="P751" s="227"/>
      <c r="Q751" s="227"/>
      <c r="R751" s="227"/>
      <c r="S751" s="227"/>
      <c r="T751" s="227"/>
      <c r="U751" s="227"/>
      <c r="V751" s="227"/>
      <c r="W751" s="227"/>
      <c r="X751" s="227"/>
      <c r="Y751" s="227"/>
      <c r="Z751" s="227"/>
    </row>
    <row r="752" spans="7:26" ht="12.75" customHeight="1">
      <c r="G752" s="174"/>
      <c r="N752" s="192"/>
      <c r="O752" s="227"/>
      <c r="P752" s="227"/>
      <c r="Q752" s="227"/>
      <c r="R752" s="227"/>
      <c r="S752" s="227"/>
      <c r="T752" s="227"/>
      <c r="U752" s="227"/>
      <c r="V752" s="227"/>
      <c r="W752" s="227"/>
      <c r="X752" s="227"/>
      <c r="Y752" s="227"/>
      <c r="Z752" s="227"/>
    </row>
    <row r="753" spans="7:26" ht="12.75" customHeight="1">
      <c r="G753" s="174"/>
      <c r="N753" s="192"/>
      <c r="O753" s="227"/>
      <c r="P753" s="227"/>
      <c r="Q753" s="227"/>
      <c r="R753" s="227"/>
      <c r="S753" s="227"/>
      <c r="T753" s="227"/>
      <c r="U753" s="227"/>
      <c r="V753" s="227"/>
      <c r="W753" s="227"/>
      <c r="X753" s="227"/>
      <c r="Y753" s="227"/>
      <c r="Z753" s="227"/>
    </row>
    <row r="754" spans="7:26" ht="12.75" customHeight="1">
      <c r="G754" s="174"/>
      <c r="N754" s="192"/>
      <c r="O754" s="227"/>
      <c r="P754" s="227"/>
      <c r="Q754" s="227"/>
      <c r="R754" s="227"/>
      <c r="S754" s="227"/>
      <c r="T754" s="227"/>
      <c r="U754" s="227"/>
      <c r="V754" s="227"/>
      <c r="W754" s="227"/>
      <c r="X754" s="227"/>
      <c r="Y754" s="227"/>
      <c r="Z754" s="227"/>
    </row>
    <row r="755" spans="7:26" ht="12.75" customHeight="1">
      <c r="G755" s="174"/>
      <c r="N755" s="192"/>
      <c r="O755" s="227"/>
      <c r="P755" s="227"/>
      <c r="Q755" s="227"/>
      <c r="R755" s="227"/>
      <c r="S755" s="227"/>
      <c r="T755" s="227"/>
      <c r="U755" s="227"/>
      <c r="V755" s="227"/>
      <c r="W755" s="227"/>
      <c r="X755" s="227"/>
      <c r="Y755" s="227"/>
      <c r="Z755" s="227"/>
    </row>
    <row r="756" spans="7:26" ht="12.75" customHeight="1">
      <c r="G756" s="174"/>
      <c r="N756" s="192"/>
      <c r="O756" s="227"/>
      <c r="P756" s="227"/>
      <c r="Q756" s="227"/>
      <c r="R756" s="227"/>
      <c r="S756" s="227"/>
      <c r="T756" s="227"/>
      <c r="U756" s="227"/>
      <c r="V756" s="227"/>
      <c r="W756" s="227"/>
      <c r="X756" s="227"/>
      <c r="Y756" s="227"/>
      <c r="Z756" s="227"/>
    </row>
    <row r="757" spans="7:26" ht="12.75" customHeight="1">
      <c r="G757" s="174"/>
      <c r="N757" s="192"/>
      <c r="O757" s="227"/>
      <c r="P757" s="227"/>
      <c r="Q757" s="227"/>
      <c r="R757" s="227"/>
      <c r="S757" s="227"/>
      <c r="T757" s="227"/>
      <c r="U757" s="227"/>
      <c r="V757" s="227"/>
      <c r="W757" s="227"/>
      <c r="X757" s="227"/>
      <c r="Y757" s="227"/>
      <c r="Z757" s="227"/>
    </row>
    <row r="758" spans="7:26" ht="12.75" customHeight="1">
      <c r="G758" s="174"/>
      <c r="N758" s="192"/>
      <c r="O758" s="227"/>
      <c r="P758" s="227"/>
      <c r="Q758" s="227"/>
      <c r="R758" s="227"/>
      <c r="S758" s="227"/>
      <c r="T758" s="227"/>
      <c r="U758" s="227"/>
      <c r="V758" s="227"/>
      <c r="W758" s="227"/>
      <c r="X758" s="227"/>
      <c r="Y758" s="227"/>
      <c r="Z758" s="227"/>
    </row>
    <row r="759" spans="7:26" ht="12.75" customHeight="1">
      <c r="G759" s="174"/>
      <c r="N759" s="192"/>
      <c r="O759" s="227"/>
      <c r="P759" s="227"/>
      <c r="Q759" s="227"/>
      <c r="R759" s="227"/>
      <c r="S759" s="227"/>
      <c r="T759" s="227"/>
      <c r="U759" s="227"/>
      <c r="V759" s="227"/>
      <c r="W759" s="227"/>
      <c r="X759" s="227"/>
      <c r="Y759" s="227"/>
      <c r="Z759" s="227"/>
    </row>
    <row r="760" spans="7:26" ht="12.75" customHeight="1">
      <c r="G760" s="174"/>
      <c r="N760" s="192"/>
      <c r="O760" s="227"/>
      <c r="P760" s="227"/>
      <c r="Q760" s="227"/>
      <c r="R760" s="227"/>
      <c r="S760" s="227"/>
      <c r="T760" s="227"/>
      <c r="U760" s="227"/>
      <c r="V760" s="227"/>
      <c r="W760" s="227"/>
      <c r="X760" s="227"/>
      <c r="Y760" s="227"/>
      <c r="Z760" s="227"/>
    </row>
    <row r="761" spans="7:26" ht="12.75" customHeight="1">
      <c r="G761" s="174"/>
      <c r="N761" s="192"/>
      <c r="O761" s="227"/>
      <c r="P761" s="227"/>
      <c r="Q761" s="227"/>
      <c r="R761" s="227"/>
      <c r="S761" s="227"/>
      <c r="T761" s="227"/>
      <c r="U761" s="227"/>
      <c r="V761" s="227"/>
      <c r="W761" s="227"/>
      <c r="X761" s="227"/>
      <c r="Y761" s="227"/>
      <c r="Z761" s="227"/>
    </row>
    <row r="762" spans="7:26" ht="12.75" customHeight="1">
      <c r="G762" s="174"/>
      <c r="N762" s="192"/>
      <c r="O762" s="227"/>
      <c r="P762" s="227"/>
      <c r="Q762" s="227"/>
      <c r="R762" s="227"/>
      <c r="S762" s="227"/>
      <c r="T762" s="227"/>
      <c r="U762" s="227"/>
      <c r="V762" s="227"/>
      <c r="W762" s="227"/>
      <c r="X762" s="227"/>
      <c r="Y762" s="227"/>
      <c r="Z762" s="227"/>
    </row>
    <row r="763" spans="7:26" ht="12.75" customHeight="1">
      <c r="G763" s="174"/>
      <c r="N763" s="192"/>
      <c r="O763" s="227"/>
      <c r="P763" s="227"/>
      <c r="Q763" s="227"/>
      <c r="R763" s="227"/>
      <c r="S763" s="227"/>
      <c r="T763" s="227"/>
      <c r="U763" s="227"/>
      <c r="V763" s="227"/>
      <c r="W763" s="227"/>
      <c r="X763" s="227"/>
      <c r="Y763" s="227"/>
      <c r="Z763" s="227"/>
    </row>
    <row r="764" spans="7:26" ht="12.75" customHeight="1">
      <c r="G764" s="174"/>
      <c r="N764" s="192"/>
      <c r="O764" s="227"/>
      <c r="P764" s="227"/>
      <c r="Q764" s="227"/>
      <c r="R764" s="227"/>
      <c r="S764" s="227"/>
      <c r="T764" s="227"/>
      <c r="U764" s="227"/>
      <c r="V764" s="227"/>
      <c r="W764" s="227"/>
      <c r="X764" s="227"/>
      <c r="Y764" s="227"/>
      <c r="Z764" s="227"/>
    </row>
    <row r="765" spans="7:26" ht="12.75" customHeight="1">
      <c r="G765" s="174"/>
      <c r="N765" s="192"/>
      <c r="O765" s="227"/>
      <c r="P765" s="227"/>
      <c r="Q765" s="227"/>
      <c r="R765" s="227"/>
      <c r="S765" s="227"/>
      <c r="T765" s="227"/>
      <c r="U765" s="227"/>
      <c r="V765" s="227"/>
      <c r="W765" s="227"/>
      <c r="X765" s="227"/>
      <c r="Y765" s="227"/>
      <c r="Z765" s="227"/>
    </row>
    <row r="766" spans="7:26" ht="12.75" customHeight="1">
      <c r="G766" s="174"/>
      <c r="N766" s="192"/>
      <c r="O766" s="227"/>
      <c r="P766" s="227"/>
      <c r="Q766" s="227"/>
      <c r="R766" s="227"/>
      <c r="S766" s="227"/>
      <c r="T766" s="227"/>
      <c r="U766" s="227"/>
      <c r="V766" s="227"/>
      <c r="W766" s="227"/>
      <c r="X766" s="227"/>
      <c r="Y766" s="227"/>
      <c r="Z766" s="227"/>
    </row>
    <row r="767" spans="7:26" ht="12.75" customHeight="1">
      <c r="G767" s="174"/>
      <c r="N767" s="192"/>
      <c r="O767" s="227"/>
      <c r="P767" s="227"/>
      <c r="Q767" s="227"/>
      <c r="R767" s="227"/>
      <c r="S767" s="227"/>
      <c r="T767" s="227"/>
      <c r="U767" s="227"/>
      <c r="V767" s="227"/>
      <c r="W767" s="227"/>
      <c r="X767" s="227"/>
      <c r="Y767" s="227"/>
      <c r="Z767" s="227"/>
    </row>
    <row r="768" spans="7:26" ht="12.75" customHeight="1">
      <c r="G768" s="174"/>
      <c r="N768" s="192"/>
      <c r="O768" s="227"/>
      <c r="P768" s="227"/>
      <c r="Q768" s="227"/>
      <c r="R768" s="227"/>
      <c r="S768" s="227"/>
      <c r="T768" s="227"/>
      <c r="U768" s="227"/>
      <c r="V768" s="227"/>
      <c r="W768" s="227"/>
      <c r="X768" s="227"/>
      <c r="Y768" s="227"/>
      <c r="Z768" s="227"/>
    </row>
    <row r="769" spans="7:26" ht="12.75" customHeight="1">
      <c r="G769" s="174"/>
      <c r="N769" s="192"/>
      <c r="O769" s="227"/>
      <c r="P769" s="227"/>
      <c r="Q769" s="227"/>
      <c r="R769" s="227"/>
      <c r="S769" s="227"/>
      <c r="T769" s="227"/>
      <c r="U769" s="227"/>
      <c r="V769" s="227"/>
      <c r="W769" s="227"/>
      <c r="X769" s="227"/>
      <c r="Y769" s="227"/>
      <c r="Z769" s="227"/>
    </row>
    <row r="770" spans="7:26" ht="12.75" customHeight="1">
      <c r="G770" s="174"/>
      <c r="N770" s="192"/>
      <c r="O770" s="227"/>
      <c r="P770" s="227"/>
      <c r="Q770" s="227"/>
      <c r="R770" s="227"/>
      <c r="S770" s="227"/>
      <c r="T770" s="227"/>
      <c r="U770" s="227"/>
      <c r="V770" s="227"/>
      <c r="W770" s="227"/>
      <c r="X770" s="227"/>
      <c r="Y770" s="227"/>
      <c r="Z770" s="227"/>
    </row>
    <row r="771" spans="7:26" ht="12.75" customHeight="1">
      <c r="G771" s="174"/>
      <c r="N771" s="192"/>
      <c r="O771" s="227"/>
      <c r="P771" s="227"/>
      <c r="Q771" s="227"/>
      <c r="R771" s="227"/>
      <c r="S771" s="227"/>
      <c r="T771" s="227"/>
      <c r="U771" s="227"/>
      <c r="V771" s="227"/>
      <c r="W771" s="227"/>
      <c r="X771" s="227"/>
      <c r="Y771" s="227"/>
      <c r="Z771" s="227"/>
    </row>
    <row r="772" spans="7:26" ht="12.75" customHeight="1">
      <c r="G772" s="174"/>
      <c r="N772" s="192"/>
      <c r="O772" s="227"/>
      <c r="P772" s="227"/>
      <c r="Q772" s="227"/>
      <c r="R772" s="227"/>
      <c r="S772" s="227"/>
      <c r="T772" s="227"/>
      <c r="U772" s="227"/>
      <c r="V772" s="227"/>
      <c r="W772" s="227"/>
      <c r="X772" s="227"/>
      <c r="Y772" s="227"/>
      <c r="Z772" s="227"/>
    </row>
    <row r="773" spans="7:26" ht="12.75" customHeight="1">
      <c r="G773" s="174"/>
      <c r="N773" s="192"/>
      <c r="O773" s="227"/>
      <c r="P773" s="227"/>
      <c r="Q773" s="227"/>
      <c r="R773" s="227"/>
      <c r="S773" s="227"/>
      <c r="T773" s="227"/>
      <c r="U773" s="227"/>
      <c r="V773" s="227"/>
      <c r="W773" s="227"/>
      <c r="X773" s="227"/>
      <c r="Y773" s="227"/>
      <c r="Z773" s="227"/>
    </row>
    <row r="774" spans="7:26" ht="12.75" customHeight="1">
      <c r="G774" s="174"/>
      <c r="N774" s="192"/>
      <c r="O774" s="227"/>
      <c r="P774" s="227"/>
      <c r="Q774" s="227"/>
      <c r="R774" s="227"/>
      <c r="S774" s="227"/>
      <c r="T774" s="227"/>
      <c r="U774" s="227"/>
      <c r="V774" s="227"/>
      <c r="W774" s="227"/>
      <c r="X774" s="227"/>
      <c r="Y774" s="227"/>
      <c r="Z774" s="227"/>
    </row>
    <row r="775" spans="7:26" ht="12.75" customHeight="1">
      <c r="G775" s="174"/>
      <c r="N775" s="192"/>
      <c r="O775" s="227"/>
      <c r="P775" s="227"/>
      <c r="Q775" s="227"/>
      <c r="R775" s="227"/>
      <c r="S775" s="227"/>
      <c r="T775" s="227"/>
      <c r="U775" s="227"/>
      <c r="V775" s="227"/>
      <c r="W775" s="227"/>
      <c r="X775" s="227"/>
      <c r="Y775" s="227"/>
      <c r="Z775" s="227"/>
    </row>
    <row r="776" spans="7:26" ht="12.75" customHeight="1">
      <c r="G776" s="174"/>
      <c r="N776" s="192"/>
      <c r="O776" s="227"/>
      <c r="P776" s="227"/>
      <c r="Q776" s="227"/>
      <c r="R776" s="227"/>
      <c r="S776" s="227"/>
      <c r="T776" s="227"/>
      <c r="U776" s="227"/>
      <c r="V776" s="227"/>
      <c r="W776" s="227"/>
      <c r="X776" s="227"/>
      <c r="Y776" s="227"/>
      <c r="Z776" s="227"/>
    </row>
    <row r="777" spans="7:26" ht="12.75" customHeight="1">
      <c r="G777" s="174"/>
      <c r="N777" s="192"/>
      <c r="O777" s="227"/>
      <c r="P777" s="227"/>
      <c r="Q777" s="227"/>
      <c r="R777" s="227"/>
      <c r="S777" s="227"/>
      <c r="T777" s="227"/>
      <c r="U777" s="227"/>
      <c r="V777" s="227"/>
      <c r="W777" s="227"/>
      <c r="X777" s="227"/>
      <c r="Y777" s="227"/>
      <c r="Z777" s="227"/>
    </row>
    <row r="778" spans="7:26" ht="12.75" customHeight="1">
      <c r="G778" s="174"/>
      <c r="N778" s="192"/>
      <c r="O778" s="227"/>
      <c r="P778" s="227"/>
      <c r="Q778" s="227"/>
      <c r="R778" s="227"/>
      <c r="S778" s="227"/>
      <c r="T778" s="227"/>
      <c r="U778" s="227"/>
      <c r="V778" s="227"/>
      <c r="W778" s="227"/>
      <c r="X778" s="227"/>
      <c r="Y778" s="227"/>
      <c r="Z778" s="227"/>
    </row>
    <row r="779" spans="7:26" ht="12.75" customHeight="1">
      <c r="G779" s="174"/>
      <c r="N779" s="192"/>
      <c r="O779" s="227"/>
      <c r="P779" s="227"/>
      <c r="Q779" s="227"/>
      <c r="R779" s="227"/>
      <c r="S779" s="227"/>
      <c r="T779" s="227"/>
      <c r="U779" s="227"/>
      <c r="V779" s="227"/>
      <c r="W779" s="227"/>
      <c r="X779" s="227"/>
      <c r="Y779" s="227"/>
      <c r="Z779" s="227"/>
    </row>
    <row r="780" spans="7:26" ht="12.75" customHeight="1">
      <c r="G780" s="174"/>
      <c r="N780" s="192"/>
      <c r="O780" s="227"/>
      <c r="P780" s="227"/>
      <c r="Q780" s="227"/>
      <c r="R780" s="227"/>
      <c r="S780" s="227"/>
      <c r="T780" s="227"/>
      <c r="U780" s="227"/>
      <c r="V780" s="227"/>
      <c r="W780" s="227"/>
      <c r="X780" s="227"/>
      <c r="Y780" s="227"/>
      <c r="Z780" s="227"/>
    </row>
    <row r="781" spans="7:26" ht="12.75" customHeight="1">
      <c r="G781" s="174"/>
      <c r="N781" s="192"/>
      <c r="O781" s="227"/>
      <c r="P781" s="227"/>
      <c r="Q781" s="227"/>
      <c r="R781" s="227"/>
      <c r="S781" s="227"/>
      <c r="T781" s="227"/>
      <c r="U781" s="227"/>
      <c r="V781" s="227"/>
      <c r="W781" s="227"/>
      <c r="X781" s="227"/>
      <c r="Y781" s="227"/>
      <c r="Z781" s="227"/>
    </row>
    <row r="782" spans="7:26" ht="12.75" customHeight="1">
      <c r="G782" s="174"/>
      <c r="N782" s="192"/>
      <c r="O782" s="227"/>
      <c r="P782" s="227"/>
      <c r="Q782" s="227"/>
      <c r="R782" s="227"/>
      <c r="S782" s="227"/>
      <c r="T782" s="227"/>
      <c r="U782" s="227"/>
      <c r="V782" s="227"/>
      <c r="W782" s="227"/>
      <c r="X782" s="227"/>
      <c r="Y782" s="227"/>
      <c r="Z782" s="227"/>
    </row>
    <row r="783" spans="7:26" ht="12.75" customHeight="1">
      <c r="G783" s="174"/>
      <c r="N783" s="192"/>
      <c r="O783" s="227"/>
      <c r="P783" s="227"/>
      <c r="Q783" s="227"/>
      <c r="R783" s="227"/>
      <c r="S783" s="227"/>
      <c r="T783" s="227"/>
      <c r="U783" s="227"/>
      <c r="V783" s="227"/>
      <c r="W783" s="227"/>
      <c r="X783" s="227"/>
      <c r="Y783" s="227"/>
      <c r="Z783" s="227"/>
    </row>
    <row r="784" spans="7:26" ht="12.75" customHeight="1">
      <c r="G784" s="174"/>
      <c r="N784" s="192"/>
      <c r="O784" s="227"/>
      <c r="P784" s="227"/>
      <c r="Q784" s="227"/>
      <c r="R784" s="227"/>
      <c r="S784" s="227"/>
      <c r="T784" s="227"/>
      <c r="U784" s="227"/>
      <c r="V784" s="227"/>
      <c r="W784" s="227"/>
      <c r="X784" s="227"/>
      <c r="Y784" s="227"/>
      <c r="Z784" s="227"/>
    </row>
    <row r="785" spans="7:26" ht="12.75" customHeight="1">
      <c r="G785" s="174"/>
      <c r="N785" s="192"/>
      <c r="O785" s="227"/>
      <c r="P785" s="227"/>
      <c r="Q785" s="227"/>
      <c r="R785" s="227"/>
      <c r="S785" s="227"/>
      <c r="T785" s="227"/>
      <c r="U785" s="227"/>
      <c r="V785" s="227"/>
      <c r="W785" s="227"/>
      <c r="X785" s="227"/>
      <c r="Y785" s="227"/>
      <c r="Z785" s="227"/>
    </row>
    <row r="786" spans="7:26" ht="12.75" customHeight="1">
      <c r="G786" s="174"/>
      <c r="N786" s="192"/>
      <c r="O786" s="227"/>
      <c r="P786" s="227"/>
      <c r="Q786" s="227"/>
      <c r="R786" s="227"/>
      <c r="S786" s="227"/>
      <c r="T786" s="227"/>
      <c r="U786" s="227"/>
      <c r="V786" s="227"/>
      <c r="W786" s="227"/>
      <c r="X786" s="227"/>
      <c r="Y786" s="227"/>
      <c r="Z786" s="227"/>
    </row>
    <row r="787" spans="7:26" ht="12.75" customHeight="1">
      <c r="G787" s="174"/>
      <c r="N787" s="192"/>
      <c r="O787" s="227"/>
      <c r="P787" s="227"/>
      <c r="Q787" s="227"/>
      <c r="R787" s="227"/>
      <c r="S787" s="227"/>
      <c r="T787" s="227"/>
      <c r="U787" s="227"/>
      <c r="V787" s="227"/>
      <c r="W787" s="227"/>
      <c r="X787" s="227"/>
      <c r="Y787" s="227"/>
      <c r="Z787" s="227"/>
    </row>
    <row r="788" spans="7:26" ht="12.75" customHeight="1">
      <c r="G788" s="174"/>
      <c r="N788" s="192"/>
      <c r="O788" s="227"/>
      <c r="P788" s="227"/>
      <c r="Q788" s="227"/>
      <c r="R788" s="227"/>
      <c r="S788" s="227"/>
      <c r="T788" s="227"/>
      <c r="U788" s="227"/>
      <c r="V788" s="227"/>
      <c r="W788" s="227"/>
      <c r="X788" s="227"/>
      <c r="Y788" s="227"/>
      <c r="Z788" s="227"/>
    </row>
    <row r="789" spans="7:26" ht="12.75" customHeight="1">
      <c r="G789" s="174"/>
      <c r="N789" s="192"/>
      <c r="O789" s="227"/>
      <c r="P789" s="227"/>
      <c r="Q789" s="227"/>
      <c r="R789" s="227"/>
      <c r="S789" s="227"/>
      <c r="T789" s="227"/>
      <c r="U789" s="227"/>
      <c r="V789" s="227"/>
      <c r="W789" s="227"/>
      <c r="X789" s="227"/>
      <c r="Y789" s="227"/>
      <c r="Z789" s="227"/>
    </row>
    <row r="790" spans="7:26" ht="12.75" customHeight="1">
      <c r="G790" s="174"/>
      <c r="N790" s="192"/>
      <c r="O790" s="227"/>
      <c r="P790" s="227"/>
      <c r="Q790" s="227"/>
      <c r="R790" s="227"/>
      <c r="S790" s="227"/>
      <c r="T790" s="227"/>
      <c r="U790" s="227"/>
      <c r="V790" s="227"/>
      <c r="W790" s="227"/>
      <c r="X790" s="227"/>
      <c r="Y790" s="227"/>
      <c r="Z790" s="227"/>
    </row>
    <row r="791" spans="7:26" ht="12.75" customHeight="1">
      <c r="G791" s="174"/>
      <c r="N791" s="192"/>
      <c r="O791" s="227"/>
      <c r="P791" s="227"/>
      <c r="Q791" s="227"/>
      <c r="R791" s="227"/>
      <c r="S791" s="227"/>
      <c r="T791" s="227"/>
      <c r="U791" s="227"/>
      <c r="V791" s="227"/>
      <c r="W791" s="227"/>
      <c r="X791" s="227"/>
      <c r="Y791" s="227"/>
      <c r="Z791" s="227"/>
    </row>
    <row r="792" spans="7:26" ht="12.75" customHeight="1">
      <c r="G792" s="174"/>
      <c r="N792" s="192"/>
      <c r="O792" s="227"/>
      <c r="P792" s="227"/>
      <c r="Q792" s="227"/>
      <c r="R792" s="227"/>
      <c r="S792" s="227"/>
      <c r="T792" s="227"/>
      <c r="U792" s="227"/>
      <c r="V792" s="227"/>
      <c r="W792" s="227"/>
      <c r="X792" s="227"/>
      <c r="Y792" s="227"/>
      <c r="Z792" s="227"/>
    </row>
    <row r="793" spans="7:26" ht="12.75" customHeight="1">
      <c r="G793" s="174"/>
      <c r="N793" s="192"/>
      <c r="O793" s="227"/>
      <c r="P793" s="227"/>
      <c r="Q793" s="227"/>
      <c r="R793" s="227"/>
      <c r="S793" s="227"/>
      <c r="T793" s="227"/>
      <c r="U793" s="227"/>
      <c r="V793" s="227"/>
      <c r="W793" s="227"/>
      <c r="X793" s="227"/>
      <c r="Y793" s="227"/>
      <c r="Z793" s="227"/>
    </row>
    <row r="794" spans="7:26" ht="12.75" customHeight="1">
      <c r="G794" s="174"/>
      <c r="N794" s="192"/>
      <c r="O794" s="227"/>
      <c r="P794" s="227"/>
      <c r="Q794" s="227"/>
      <c r="R794" s="227"/>
      <c r="S794" s="227"/>
      <c r="T794" s="227"/>
      <c r="U794" s="227"/>
      <c r="V794" s="227"/>
      <c r="W794" s="227"/>
      <c r="X794" s="227"/>
      <c r="Y794" s="227"/>
      <c r="Z794" s="227"/>
    </row>
    <row r="795" spans="7:26" ht="12.75" customHeight="1">
      <c r="G795" s="174"/>
      <c r="N795" s="192"/>
      <c r="O795" s="227"/>
      <c r="P795" s="227"/>
      <c r="Q795" s="227"/>
      <c r="R795" s="227"/>
      <c r="S795" s="227"/>
      <c r="T795" s="227"/>
      <c r="U795" s="227"/>
      <c r="V795" s="227"/>
      <c r="W795" s="227"/>
      <c r="X795" s="227"/>
      <c r="Y795" s="227"/>
      <c r="Z795" s="227"/>
    </row>
    <row r="796" spans="7:26" ht="12.75" customHeight="1">
      <c r="G796" s="174"/>
      <c r="N796" s="192"/>
      <c r="O796" s="227"/>
      <c r="P796" s="227"/>
      <c r="Q796" s="227"/>
      <c r="R796" s="227"/>
      <c r="S796" s="227"/>
      <c r="T796" s="227"/>
      <c r="U796" s="227"/>
      <c r="V796" s="227"/>
      <c r="W796" s="227"/>
      <c r="X796" s="227"/>
      <c r="Y796" s="227"/>
      <c r="Z796" s="227"/>
    </row>
    <row r="797" spans="7:26" ht="12.75" customHeight="1">
      <c r="G797" s="174"/>
      <c r="N797" s="192"/>
      <c r="O797" s="227"/>
      <c r="P797" s="227"/>
      <c r="Q797" s="227"/>
      <c r="R797" s="227"/>
      <c r="S797" s="227"/>
      <c r="T797" s="227"/>
      <c r="U797" s="227"/>
      <c r="V797" s="227"/>
      <c r="W797" s="227"/>
      <c r="X797" s="227"/>
      <c r="Y797" s="227"/>
      <c r="Z797" s="227"/>
    </row>
    <row r="798" spans="7:26" ht="12.75" customHeight="1">
      <c r="G798" s="174"/>
      <c r="N798" s="192"/>
      <c r="O798" s="227"/>
      <c r="P798" s="227"/>
      <c r="Q798" s="227"/>
      <c r="R798" s="227"/>
      <c r="S798" s="227"/>
      <c r="T798" s="227"/>
      <c r="U798" s="227"/>
      <c r="V798" s="227"/>
      <c r="W798" s="227"/>
      <c r="X798" s="227"/>
      <c r="Y798" s="227"/>
      <c r="Z798" s="227"/>
    </row>
    <row r="799" spans="7:26" ht="12.75" customHeight="1">
      <c r="G799" s="174"/>
      <c r="N799" s="192"/>
      <c r="O799" s="227"/>
      <c r="P799" s="227"/>
      <c r="Q799" s="227"/>
      <c r="R799" s="227"/>
      <c r="S799" s="227"/>
      <c r="T799" s="227"/>
      <c r="U799" s="227"/>
      <c r="V799" s="227"/>
      <c r="W799" s="227"/>
      <c r="X799" s="227"/>
      <c r="Y799" s="227"/>
      <c r="Z799" s="227"/>
    </row>
    <row r="800" spans="7:26" ht="12.75" customHeight="1">
      <c r="G800" s="174"/>
      <c r="N800" s="192"/>
      <c r="O800" s="227"/>
      <c r="P800" s="227"/>
      <c r="Q800" s="227"/>
      <c r="R800" s="227"/>
      <c r="S800" s="227"/>
      <c r="T800" s="227"/>
      <c r="U800" s="227"/>
      <c r="V800" s="227"/>
      <c r="W800" s="227"/>
      <c r="X800" s="227"/>
      <c r="Y800" s="227"/>
      <c r="Z800" s="227"/>
    </row>
    <row r="801" spans="7:26" ht="12.75" customHeight="1">
      <c r="G801" s="174"/>
      <c r="N801" s="192"/>
      <c r="O801" s="227"/>
      <c r="P801" s="227"/>
      <c r="Q801" s="227"/>
      <c r="R801" s="227"/>
      <c r="S801" s="227"/>
      <c r="T801" s="227"/>
      <c r="U801" s="227"/>
      <c r="V801" s="227"/>
      <c r="W801" s="227"/>
      <c r="X801" s="227"/>
      <c r="Y801" s="227"/>
      <c r="Z801" s="227"/>
    </row>
    <row r="802" spans="7:26" ht="12.75" customHeight="1">
      <c r="G802" s="174"/>
      <c r="N802" s="192"/>
      <c r="O802" s="227"/>
      <c r="P802" s="227"/>
      <c r="Q802" s="227"/>
      <c r="R802" s="227"/>
      <c r="S802" s="227"/>
      <c r="T802" s="227"/>
      <c r="U802" s="227"/>
      <c r="V802" s="227"/>
      <c r="W802" s="227"/>
      <c r="X802" s="227"/>
      <c r="Y802" s="227"/>
      <c r="Z802" s="227"/>
    </row>
    <row r="803" spans="7:26" ht="12.75" customHeight="1">
      <c r="G803" s="174"/>
      <c r="N803" s="192"/>
      <c r="O803" s="227"/>
      <c r="P803" s="227"/>
      <c r="Q803" s="227"/>
      <c r="R803" s="227"/>
      <c r="S803" s="227"/>
      <c r="T803" s="227"/>
      <c r="U803" s="227"/>
      <c r="V803" s="227"/>
      <c r="W803" s="227"/>
      <c r="X803" s="227"/>
      <c r="Y803" s="227"/>
      <c r="Z803" s="227"/>
    </row>
    <row r="804" spans="7:26" ht="12.75" customHeight="1">
      <c r="G804" s="174"/>
      <c r="N804" s="192"/>
      <c r="O804" s="227"/>
      <c r="P804" s="227"/>
      <c r="Q804" s="227"/>
      <c r="R804" s="227"/>
      <c r="S804" s="227"/>
      <c r="T804" s="227"/>
      <c r="U804" s="227"/>
      <c r="V804" s="227"/>
      <c r="W804" s="227"/>
      <c r="X804" s="227"/>
      <c r="Y804" s="227"/>
      <c r="Z804" s="227"/>
    </row>
    <row r="805" spans="7:26" ht="12.75" customHeight="1">
      <c r="G805" s="174"/>
      <c r="N805" s="192"/>
      <c r="O805" s="227"/>
      <c r="P805" s="227"/>
      <c r="Q805" s="227"/>
      <c r="R805" s="227"/>
      <c r="S805" s="227"/>
      <c r="T805" s="227"/>
      <c r="U805" s="227"/>
      <c r="V805" s="227"/>
      <c r="W805" s="227"/>
      <c r="X805" s="227"/>
      <c r="Y805" s="227"/>
      <c r="Z805" s="227"/>
    </row>
    <row r="806" spans="7:26" ht="12.75" customHeight="1">
      <c r="G806" s="174"/>
      <c r="N806" s="192"/>
      <c r="O806" s="227"/>
      <c r="P806" s="227"/>
      <c r="Q806" s="227"/>
      <c r="R806" s="227"/>
      <c r="S806" s="227"/>
      <c r="T806" s="227"/>
      <c r="U806" s="227"/>
      <c r="V806" s="227"/>
      <c r="W806" s="227"/>
      <c r="X806" s="227"/>
      <c r="Y806" s="227"/>
      <c r="Z806" s="227"/>
    </row>
    <row r="807" spans="7:26" ht="12.75" customHeight="1">
      <c r="G807" s="174"/>
      <c r="N807" s="192"/>
      <c r="O807" s="227"/>
      <c r="P807" s="227"/>
      <c r="Q807" s="227"/>
      <c r="R807" s="227"/>
      <c r="S807" s="227"/>
      <c r="T807" s="227"/>
      <c r="U807" s="227"/>
      <c r="V807" s="227"/>
      <c r="W807" s="227"/>
      <c r="X807" s="227"/>
      <c r="Y807" s="227"/>
      <c r="Z807" s="227"/>
    </row>
    <row r="808" spans="7:26" ht="12.75" customHeight="1">
      <c r="G808" s="174"/>
      <c r="N808" s="192"/>
      <c r="O808" s="227"/>
      <c r="P808" s="227"/>
      <c r="Q808" s="227"/>
      <c r="R808" s="227"/>
      <c r="S808" s="227"/>
      <c r="T808" s="227"/>
      <c r="U808" s="227"/>
      <c r="V808" s="227"/>
      <c r="W808" s="227"/>
      <c r="X808" s="227"/>
      <c r="Y808" s="227"/>
      <c r="Z808" s="227"/>
    </row>
    <row r="809" spans="7:26" ht="12.75" customHeight="1">
      <c r="G809" s="174"/>
      <c r="N809" s="192"/>
      <c r="O809" s="227"/>
      <c r="P809" s="227"/>
      <c r="Q809" s="227"/>
      <c r="R809" s="227"/>
      <c r="S809" s="227"/>
      <c r="T809" s="227"/>
      <c r="U809" s="227"/>
      <c r="V809" s="227"/>
      <c r="W809" s="227"/>
      <c r="X809" s="227"/>
      <c r="Y809" s="227"/>
      <c r="Z809" s="227"/>
    </row>
    <row r="810" spans="7:26" ht="12.75" customHeight="1">
      <c r="G810" s="174"/>
      <c r="N810" s="192"/>
      <c r="O810" s="227"/>
      <c r="P810" s="227"/>
      <c r="Q810" s="227"/>
      <c r="R810" s="227"/>
      <c r="S810" s="227"/>
      <c r="T810" s="227"/>
      <c r="U810" s="227"/>
      <c r="V810" s="227"/>
      <c r="W810" s="227"/>
      <c r="X810" s="227"/>
      <c r="Y810" s="227"/>
      <c r="Z810" s="227"/>
    </row>
    <row r="811" spans="7:26" ht="12.75" customHeight="1">
      <c r="G811" s="174"/>
      <c r="N811" s="192"/>
      <c r="O811" s="227"/>
      <c r="P811" s="227"/>
      <c r="Q811" s="227"/>
      <c r="R811" s="227"/>
      <c r="S811" s="227"/>
      <c r="T811" s="227"/>
      <c r="U811" s="227"/>
      <c r="V811" s="227"/>
      <c r="W811" s="227"/>
      <c r="X811" s="227"/>
      <c r="Y811" s="227"/>
      <c r="Z811" s="227"/>
    </row>
    <row r="812" spans="7:26" ht="12.75" customHeight="1">
      <c r="G812" s="174"/>
      <c r="N812" s="192"/>
      <c r="O812" s="227"/>
      <c r="P812" s="227"/>
      <c r="Q812" s="227"/>
      <c r="R812" s="227"/>
      <c r="S812" s="227"/>
      <c r="T812" s="227"/>
      <c r="U812" s="227"/>
      <c r="V812" s="227"/>
      <c r="W812" s="227"/>
      <c r="X812" s="227"/>
      <c r="Y812" s="227"/>
      <c r="Z812" s="227"/>
    </row>
    <row r="813" spans="7:26" ht="12.75" customHeight="1">
      <c r="G813" s="174"/>
      <c r="N813" s="192"/>
      <c r="O813" s="227"/>
      <c r="P813" s="227"/>
      <c r="Q813" s="227"/>
      <c r="R813" s="227"/>
      <c r="S813" s="227"/>
      <c r="T813" s="227"/>
      <c r="U813" s="227"/>
      <c r="V813" s="227"/>
      <c r="W813" s="227"/>
      <c r="X813" s="227"/>
      <c r="Y813" s="227"/>
      <c r="Z813" s="227"/>
    </row>
    <row r="814" spans="7:26" ht="12.75" customHeight="1">
      <c r="G814" s="174"/>
      <c r="N814" s="192"/>
      <c r="O814" s="227"/>
      <c r="P814" s="227"/>
      <c r="Q814" s="227"/>
      <c r="R814" s="227"/>
      <c r="S814" s="227"/>
      <c r="T814" s="227"/>
      <c r="U814" s="227"/>
      <c r="V814" s="227"/>
      <c r="W814" s="227"/>
      <c r="X814" s="227"/>
      <c r="Y814" s="227"/>
      <c r="Z814" s="227"/>
    </row>
    <row r="815" spans="7:26" ht="12.75" customHeight="1">
      <c r="G815" s="174"/>
      <c r="N815" s="192"/>
      <c r="O815" s="227"/>
      <c r="P815" s="227"/>
      <c r="Q815" s="227"/>
      <c r="R815" s="227"/>
      <c r="S815" s="227"/>
      <c r="T815" s="227"/>
      <c r="U815" s="227"/>
      <c r="V815" s="227"/>
      <c r="W815" s="227"/>
      <c r="X815" s="227"/>
      <c r="Y815" s="227"/>
      <c r="Z815" s="227"/>
    </row>
    <row r="816" spans="7:26" ht="12.75" customHeight="1">
      <c r="G816" s="174"/>
      <c r="N816" s="192"/>
      <c r="O816" s="227"/>
      <c r="P816" s="227"/>
      <c r="Q816" s="227"/>
      <c r="R816" s="227"/>
      <c r="S816" s="227"/>
      <c r="T816" s="227"/>
      <c r="U816" s="227"/>
      <c r="V816" s="227"/>
      <c r="W816" s="227"/>
      <c r="X816" s="227"/>
      <c r="Y816" s="227"/>
      <c r="Z816" s="227"/>
    </row>
    <row r="817" spans="7:26" ht="12.75" customHeight="1">
      <c r="G817" s="174"/>
      <c r="N817" s="192"/>
      <c r="O817" s="227"/>
      <c r="P817" s="227"/>
      <c r="Q817" s="227"/>
      <c r="R817" s="227"/>
      <c r="S817" s="227"/>
      <c r="T817" s="227"/>
      <c r="U817" s="227"/>
      <c r="V817" s="227"/>
      <c r="W817" s="227"/>
      <c r="X817" s="227"/>
      <c r="Y817" s="227"/>
      <c r="Z817" s="227"/>
    </row>
    <row r="818" spans="7:26" ht="12.75" customHeight="1">
      <c r="G818" s="174"/>
      <c r="N818" s="192"/>
      <c r="O818" s="227"/>
      <c r="P818" s="227"/>
      <c r="Q818" s="227"/>
      <c r="R818" s="227"/>
      <c r="S818" s="227"/>
      <c r="T818" s="227"/>
      <c r="U818" s="227"/>
      <c r="V818" s="227"/>
      <c r="W818" s="227"/>
      <c r="X818" s="227"/>
      <c r="Y818" s="227"/>
      <c r="Z818" s="227"/>
    </row>
    <row r="819" spans="7:26" ht="12.75" customHeight="1">
      <c r="G819" s="174"/>
      <c r="N819" s="192"/>
      <c r="O819" s="227"/>
      <c r="P819" s="227"/>
      <c r="Q819" s="227"/>
      <c r="R819" s="227"/>
      <c r="S819" s="227"/>
      <c r="T819" s="227"/>
      <c r="U819" s="227"/>
      <c r="V819" s="227"/>
      <c r="W819" s="227"/>
      <c r="X819" s="227"/>
      <c r="Y819" s="227"/>
      <c r="Z819" s="227"/>
    </row>
    <row r="820" spans="7:26" ht="12.75" customHeight="1">
      <c r="G820" s="174"/>
      <c r="N820" s="192"/>
      <c r="O820" s="227"/>
      <c r="P820" s="227"/>
      <c r="Q820" s="227"/>
      <c r="R820" s="227"/>
      <c r="S820" s="227"/>
      <c r="T820" s="227"/>
      <c r="U820" s="227"/>
      <c r="V820" s="227"/>
      <c r="W820" s="227"/>
      <c r="X820" s="227"/>
      <c r="Y820" s="227"/>
      <c r="Z820" s="227"/>
    </row>
    <row r="821" spans="7:26" ht="12.75" customHeight="1">
      <c r="G821" s="174"/>
      <c r="N821" s="192"/>
      <c r="O821" s="227"/>
      <c r="P821" s="227"/>
      <c r="Q821" s="227"/>
      <c r="R821" s="227"/>
      <c r="S821" s="227"/>
      <c r="T821" s="227"/>
      <c r="U821" s="227"/>
      <c r="V821" s="227"/>
      <c r="W821" s="227"/>
      <c r="X821" s="227"/>
      <c r="Y821" s="227"/>
      <c r="Z821" s="227"/>
    </row>
    <row r="822" spans="7:26" ht="12.75" customHeight="1">
      <c r="G822" s="174"/>
      <c r="N822" s="192"/>
      <c r="O822" s="227"/>
      <c r="P822" s="227"/>
      <c r="Q822" s="227"/>
      <c r="R822" s="227"/>
      <c r="S822" s="227"/>
      <c r="T822" s="227"/>
      <c r="U822" s="227"/>
      <c r="V822" s="227"/>
      <c r="W822" s="227"/>
      <c r="X822" s="227"/>
      <c r="Y822" s="227"/>
      <c r="Z822" s="227"/>
    </row>
    <row r="823" spans="7:26" ht="12.75" customHeight="1">
      <c r="G823" s="174"/>
      <c r="N823" s="192"/>
      <c r="O823" s="227"/>
      <c r="P823" s="227"/>
      <c r="Q823" s="227"/>
      <c r="R823" s="227"/>
      <c r="S823" s="227"/>
      <c r="T823" s="227"/>
      <c r="U823" s="227"/>
      <c r="V823" s="227"/>
      <c r="W823" s="227"/>
      <c r="X823" s="227"/>
      <c r="Y823" s="227"/>
      <c r="Z823" s="227"/>
    </row>
    <row r="824" spans="7:26" ht="12.75" customHeight="1">
      <c r="G824" s="174"/>
      <c r="N824" s="192"/>
      <c r="O824" s="227"/>
      <c r="P824" s="227"/>
      <c r="Q824" s="227"/>
      <c r="R824" s="227"/>
      <c r="S824" s="227"/>
      <c r="T824" s="227"/>
      <c r="U824" s="227"/>
      <c r="V824" s="227"/>
      <c r="W824" s="227"/>
      <c r="X824" s="227"/>
      <c r="Y824" s="227"/>
      <c r="Z824" s="227"/>
    </row>
    <row r="825" spans="7:26" ht="12.75" customHeight="1">
      <c r="G825" s="174"/>
      <c r="N825" s="192"/>
      <c r="O825" s="227"/>
      <c r="P825" s="227"/>
      <c r="Q825" s="227"/>
      <c r="R825" s="227"/>
      <c r="S825" s="227"/>
      <c r="T825" s="227"/>
      <c r="U825" s="227"/>
      <c r="V825" s="227"/>
      <c r="W825" s="227"/>
      <c r="X825" s="227"/>
      <c r="Y825" s="227"/>
      <c r="Z825" s="227"/>
    </row>
    <row r="826" spans="7:26" ht="12.75" customHeight="1">
      <c r="G826" s="174"/>
      <c r="N826" s="192"/>
      <c r="O826" s="227"/>
      <c r="P826" s="227"/>
      <c r="Q826" s="227"/>
      <c r="R826" s="227"/>
      <c r="S826" s="227"/>
      <c r="T826" s="227"/>
      <c r="U826" s="227"/>
      <c r="V826" s="227"/>
      <c r="W826" s="227"/>
      <c r="X826" s="227"/>
      <c r="Y826" s="227"/>
      <c r="Z826" s="227"/>
    </row>
    <row r="827" spans="7:26" ht="12.75" customHeight="1">
      <c r="G827" s="174"/>
      <c r="N827" s="192"/>
      <c r="O827" s="227"/>
      <c r="P827" s="227"/>
      <c r="Q827" s="227"/>
      <c r="R827" s="227"/>
      <c r="S827" s="227"/>
      <c r="T827" s="227"/>
      <c r="U827" s="227"/>
      <c r="V827" s="227"/>
      <c r="W827" s="227"/>
      <c r="X827" s="227"/>
      <c r="Y827" s="227"/>
      <c r="Z827" s="227"/>
    </row>
    <row r="828" spans="7:26" ht="12.75" customHeight="1">
      <c r="G828" s="174"/>
      <c r="N828" s="192"/>
      <c r="O828" s="227"/>
      <c r="P828" s="227"/>
      <c r="Q828" s="227"/>
      <c r="R828" s="227"/>
      <c r="S828" s="227"/>
      <c r="T828" s="227"/>
      <c r="U828" s="227"/>
      <c r="V828" s="227"/>
      <c r="W828" s="227"/>
      <c r="X828" s="227"/>
      <c r="Y828" s="227"/>
      <c r="Z828" s="227"/>
    </row>
    <row r="829" spans="7:26" ht="12.75" customHeight="1">
      <c r="G829" s="174"/>
      <c r="N829" s="192"/>
      <c r="O829" s="227"/>
      <c r="P829" s="227"/>
      <c r="Q829" s="227"/>
      <c r="R829" s="227"/>
      <c r="S829" s="227"/>
      <c r="T829" s="227"/>
      <c r="U829" s="227"/>
      <c r="V829" s="227"/>
      <c r="W829" s="227"/>
      <c r="X829" s="227"/>
      <c r="Y829" s="227"/>
      <c r="Z829" s="227"/>
    </row>
    <row r="830" spans="7:26" ht="12.75" customHeight="1">
      <c r="G830" s="174"/>
      <c r="N830" s="192"/>
      <c r="O830" s="227"/>
      <c r="P830" s="227"/>
      <c r="Q830" s="227"/>
      <c r="R830" s="227"/>
      <c r="S830" s="227"/>
      <c r="T830" s="227"/>
      <c r="U830" s="227"/>
      <c r="V830" s="227"/>
      <c r="W830" s="227"/>
      <c r="X830" s="227"/>
      <c r="Y830" s="227"/>
      <c r="Z830" s="227"/>
    </row>
    <row r="831" spans="7:26" ht="12.75" customHeight="1">
      <c r="G831" s="174"/>
      <c r="N831" s="192"/>
      <c r="O831" s="227"/>
      <c r="P831" s="227"/>
      <c r="Q831" s="227"/>
      <c r="R831" s="227"/>
      <c r="S831" s="227"/>
      <c r="T831" s="227"/>
      <c r="U831" s="227"/>
      <c r="V831" s="227"/>
      <c r="W831" s="227"/>
      <c r="X831" s="227"/>
      <c r="Y831" s="227"/>
      <c r="Z831" s="227"/>
    </row>
    <row r="832" spans="7:26" ht="12.75" customHeight="1">
      <c r="G832" s="174"/>
      <c r="N832" s="192"/>
      <c r="O832" s="227"/>
      <c r="P832" s="227"/>
      <c r="Q832" s="227"/>
      <c r="R832" s="227"/>
      <c r="S832" s="227"/>
      <c r="T832" s="227"/>
      <c r="U832" s="227"/>
      <c r="V832" s="227"/>
      <c r="W832" s="227"/>
      <c r="X832" s="227"/>
      <c r="Y832" s="227"/>
      <c r="Z832" s="227"/>
    </row>
    <row r="833" spans="7:26" ht="12.75" customHeight="1">
      <c r="G833" s="174"/>
      <c r="N833" s="192"/>
      <c r="O833" s="227"/>
      <c r="P833" s="227"/>
      <c r="Q833" s="227"/>
      <c r="R833" s="227"/>
      <c r="S833" s="227"/>
      <c r="T833" s="227"/>
      <c r="U833" s="227"/>
      <c r="V833" s="227"/>
      <c r="W833" s="227"/>
      <c r="X833" s="227"/>
      <c r="Y833" s="227"/>
      <c r="Z833" s="227"/>
    </row>
    <row r="834" spans="7:26" ht="12.75" customHeight="1">
      <c r="G834" s="174"/>
      <c r="N834" s="192"/>
      <c r="O834" s="227"/>
      <c r="P834" s="227"/>
      <c r="Q834" s="227"/>
      <c r="R834" s="227"/>
      <c r="S834" s="227"/>
      <c r="T834" s="227"/>
      <c r="U834" s="227"/>
      <c r="V834" s="227"/>
      <c r="W834" s="227"/>
      <c r="X834" s="227"/>
      <c r="Y834" s="227"/>
      <c r="Z834" s="227"/>
    </row>
    <row r="835" spans="7:26" ht="12.75" customHeight="1">
      <c r="G835" s="174"/>
      <c r="N835" s="192"/>
      <c r="O835" s="227"/>
      <c r="P835" s="227"/>
      <c r="Q835" s="227"/>
      <c r="R835" s="227"/>
      <c r="S835" s="227"/>
      <c r="T835" s="227"/>
      <c r="U835" s="227"/>
      <c r="V835" s="227"/>
      <c r="W835" s="227"/>
      <c r="X835" s="227"/>
      <c r="Y835" s="227"/>
      <c r="Z835" s="227"/>
    </row>
    <row r="836" spans="7:26" ht="12.75" customHeight="1">
      <c r="G836" s="174"/>
      <c r="N836" s="192"/>
      <c r="O836" s="227"/>
      <c r="P836" s="227"/>
      <c r="Q836" s="227"/>
      <c r="R836" s="227"/>
      <c r="S836" s="227"/>
      <c r="T836" s="227"/>
      <c r="U836" s="227"/>
      <c r="V836" s="227"/>
      <c r="W836" s="227"/>
      <c r="X836" s="227"/>
      <c r="Y836" s="227"/>
      <c r="Z836" s="227"/>
    </row>
    <row r="837" spans="7:26" ht="12.75" customHeight="1">
      <c r="G837" s="174"/>
      <c r="N837" s="192"/>
      <c r="O837" s="227"/>
      <c r="P837" s="227"/>
      <c r="Q837" s="227"/>
      <c r="R837" s="227"/>
      <c r="S837" s="227"/>
      <c r="T837" s="227"/>
      <c r="U837" s="227"/>
      <c r="V837" s="227"/>
      <c r="W837" s="227"/>
      <c r="X837" s="227"/>
      <c r="Y837" s="227"/>
      <c r="Z837" s="227"/>
    </row>
    <row r="838" spans="7:26" ht="12.75" customHeight="1">
      <c r="G838" s="174"/>
      <c r="N838" s="192"/>
      <c r="O838" s="227"/>
      <c r="P838" s="227"/>
      <c r="Q838" s="227"/>
      <c r="R838" s="227"/>
      <c r="S838" s="227"/>
      <c r="T838" s="227"/>
      <c r="U838" s="227"/>
      <c r="V838" s="227"/>
      <c r="W838" s="227"/>
      <c r="X838" s="227"/>
      <c r="Y838" s="227"/>
      <c r="Z838" s="227"/>
    </row>
    <row r="839" spans="7:26" ht="12.75" customHeight="1">
      <c r="G839" s="174"/>
      <c r="N839" s="192"/>
      <c r="O839" s="227"/>
      <c r="P839" s="227"/>
      <c r="Q839" s="227"/>
      <c r="R839" s="227"/>
      <c r="S839" s="227"/>
      <c r="T839" s="227"/>
      <c r="U839" s="227"/>
      <c r="V839" s="227"/>
      <c r="W839" s="227"/>
      <c r="X839" s="227"/>
      <c r="Y839" s="227"/>
      <c r="Z839" s="227"/>
    </row>
    <row r="840" spans="7:26" ht="12.75" customHeight="1">
      <c r="G840" s="174"/>
      <c r="N840" s="192"/>
      <c r="O840" s="227"/>
      <c r="P840" s="227"/>
      <c r="Q840" s="227"/>
      <c r="R840" s="227"/>
      <c r="S840" s="227"/>
      <c r="T840" s="227"/>
      <c r="U840" s="227"/>
      <c r="V840" s="227"/>
      <c r="W840" s="227"/>
      <c r="X840" s="227"/>
      <c r="Y840" s="227"/>
      <c r="Z840" s="227"/>
    </row>
    <row r="841" spans="7:26" ht="12.75" customHeight="1">
      <c r="G841" s="174"/>
      <c r="N841" s="192"/>
      <c r="O841" s="227"/>
      <c r="P841" s="227"/>
      <c r="Q841" s="227"/>
      <c r="R841" s="227"/>
      <c r="S841" s="227"/>
      <c r="T841" s="227"/>
      <c r="U841" s="227"/>
      <c r="V841" s="227"/>
      <c r="W841" s="227"/>
      <c r="X841" s="227"/>
      <c r="Y841" s="227"/>
      <c r="Z841" s="227"/>
    </row>
    <row r="842" spans="7:26" ht="12.75" customHeight="1">
      <c r="G842" s="174"/>
      <c r="N842" s="192"/>
      <c r="O842" s="227"/>
      <c r="P842" s="227"/>
      <c r="Q842" s="227"/>
      <c r="R842" s="227"/>
      <c r="S842" s="227"/>
      <c r="T842" s="227"/>
      <c r="U842" s="227"/>
      <c r="V842" s="227"/>
      <c r="W842" s="227"/>
      <c r="X842" s="227"/>
      <c r="Y842" s="227"/>
      <c r="Z842" s="227"/>
    </row>
    <row r="843" spans="7:26" ht="12.75" customHeight="1">
      <c r="G843" s="174"/>
      <c r="N843" s="192"/>
      <c r="O843" s="227"/>
      <c r="P843" s="227"/>
      <c r="Q843" s="227"/>
      <c r="R843" s="227"/>
      <c r="S843" s="227"/>
      <c r="T843" s="227"/>
      <c r="U843" s="227"/>
      <c r="V843" s="227"/>
      <c r="W843" s="227"/>
      <c r="X843" s="227"/>
      <c r="Y843" s="227"/>
      <c r="Z843" s="227"/>
    </row>
    <row r="844" spans="7:26" ht="12.75" customHeight="1">
      <c r="G844" s="174"/>
      <c r="N844" s="192"/>
      <c r="O844" s="227"/>
      <c r="P844" s="227"/>
      <c r="Q844" s="227"/>
      <c r="R844" s="227"/>
      <c r="S844" s="227"/>
      <c r="T844" s="227"/>
      <c r="U844" s="227"/>
      <c r="V844" s="227"/>
      <c r="W844" s="227"/>
      <c r="X844" s="227"/>
      <c r="Y844" s="227"/>
      <c r="Z844" s="227"/>
    </row>
    <row r="845" spans="7:26" ht="12.75" customHeight="1">
      <c r="G845" s="174"/>
      <c r="N845" s="192"/>
      <c r="O845" s="227"/>
      <c r="P845" s="227"/>
      <c r="Q845" s="227"/>
      <c r="R845" s="227"/>
      <c r="S845" s="227"/>
      <c r="T845" s="227"/>
      <c r="U845" s="227"/>
      <c r="V845" s="227"/>
      <c r="W845" s="227"/>
      <c r="X845" s="227"/>
      <c r="Y845" s="227"/>
      <c r="Z845" s="227"/>
    </row>
    <row r="846" spans="7:26" ht="12.75" customHeight="1">
      <c r="G846" s="174"/>
      <c r="N846" s="192"/>
      <c r="O846" s="227"/>
      <c r="P846" s="227"/>
      <c r="Q846" s="227"/>
      <c r="R846" s="227"/>
      <c r="S846" s="227"/>
      <c r="T846" s="227"/>
      <c r="U846" s="227"/>
      <c r="V846" s="227"/>
      <c r="W846" s="227"/>
      <c r="X846" s="227"/>
      <c r="Y846" s="227"/>
      <c r="Z846" s="227"/>
    </row>
    <row r="847" spans="7:26" ht="12.75" customHeight="1">
      <c r="G847" s="174"/>
      <c r="N847" s="192"/>
      <c r="O847" s="227"/>
      <c r="P847" s="227"/>
      <c r="Q847" s="227"/>
      <c r="R847" s="227"/>
      <c r="S847" s="227"/>
      <c r="T847" s="227"/>
      <c r="U847" s="227"/>
      <c r="V847" s="227"/>
      <c r="W847" s="227"/>
      <c r="X847" s="227"/>
      <c r="Y847" s="227"/>
      <c r="Z847" s="227"/>
    </row>
    <row r="848" spans="7:26" ht="12.75" customHeight="1">
      <c r="G848" s="174"/>
      <c r="N848" s="192"/>
      <c r="O848" s="227"/>
      <c r="P848" s="227"/>
      <c r="Q848" s="227"/>
      <c r="R848" s="227"/>
      <c r="S848" s="227"/>
      <c r="T848" s="227"/>
      <c r="U848" s="227"/>
      <c r="V848" s="227"/>
      <c r="W848" s="227"/>
      <c r="X848" s="227"/>
      <c r="Y848" s="227"/>
      <c r="Z848" s="227"/>
    </row>
    <row r="849" spans="7:26" ht="12.75" customHeight="1">
      <c r="G849" s="174"/>
      <c r="N849" s="192"/>
      <c r="O849" s="227"/>
      <c r="P849" s="227"/>
      <c r="Q849" s="227"/>
      <c r="R849" s="227"/>
      <c r="S849" s="227"/>
      <c r="T849" s="227"/>
      <c r="U849" s="227"/>
      <c r="V849" s="227"/>
      <c r="W849" s="227"/>
      <c r="X849" s="227"/>
      <c r="Y849" s="227"/>
      <c r="Z849" s="227"/>
    </row>
    <row r="850" spans="7:26" ht="12.75" customHeight="1">
      <c r="G850" s="174"/>
      <c r="N850" s="192"/>
      <c r="O850" s="227"/>
      <c r="P850" s="227"/>
      <c r="Q850" s="227"/>
      <c r="R850" s="227"/>
      <c r="S850" s="227"/>
      <c r="T850" s="227"/>
      <c r="U850" s="227"/>
      <c r="V850" s="227"/>
      <c r="W850" s="227"/>
      <c r="X850" s="227"/>
      <c r="Y850" s="227"/>
      <c r="Z850" s="227"/>
    </row>
    <row r="851" spans="7:26" ht="12.75" customHeight="1">
      <c r="G851" s="174"/>
      <c r="N851" s="192"/>
      <c r="O851" s="227"/>
      <c r="P851" s="227"/>
      <c r="Q851" s="227"/>
      <c r="R851" s="227"/>
      <c r="S851" s="227"/>
      <c r="T851" s="227"/>
      <c r="U851" s="227"/>
      <c r="V851" s="227"/>
      <c r="W851" s="227"/>
      <c r="X851" s="227"/>
      <c r="Y851" s="227"/>
      <c r="Z851" s="227"/>
    </row>
    <row r="852" spans="7:26" ht="12.75" customHeight="1">
      <c r="G852" s="174"/>
      <c r="N852" s="192"/>
      <c r="O852" s="227"/>
      <c r="P852" s="227"/>
      <c r="Q852" s="227"/>
      <c r="R852" s="227"/>
      <c r="S852" s="227"/>
      <c r="T852" s="227"/>
      <c r="U852" s="227"/>
      <c r="V852" s="227"/>
      <c r="W852" s="227"/>
      <c r="X852" s="227"/>
      <c r="Y852" s="227"/>
      <c r="Z852" s="227"/>
    </row>
    <row r="853" spans="7:26" ht="12.75" customHeight="1">
      <c r="G853" s="174"/>
      <c r="N853" s="192"/>
      <c r="O853" s="227"/>
      <c r="P853" s="227"/>
      <c r="Q853" s="227"/>
      <c r="R853" s="227"/>
      <c r="S853" s="227"/>
      <c r="T853" s="227"/>
      <c r="U853" s="227"/>
      <c r="V853" s="227"/>
      <c r="W853" s="227"/>
      <c r="X853" s="227"/>
      <c r="Y853" s="227"/>
      <c r="Z853" s="227"/>
    </row>
    <row r="854" spans="7:26" ht="12.75" customHeight="1">
      <c r="G854" s="174"/>
      <c r="N854" s="192"/>
      <c r="O854" s="227"/>
      <c r="P854" s="227"/>
      <c r="Q854" s="227"/>
      <c r="R854" s="227"/>
      <c r="S854" s="227"/>
      <c r="T854" s="227"/>
      <c r="U854" s="227"/>
      <c r="V854" s="227"/>
      <c r="W854" s="227"/>
      <c r="X854" s="227"/>
      <c r="Y854" s="227"/>
      <c r="Z854" s="227"/>
    </row>
    <row r="855" spans="7:26" ht="12.75" customHeight="1">
      <c r="G855" s="174"/>
      <c r="N855" s="192"/>
      <c r="O855" s="227"/>
      <c r="P855" s="227"/>
      <c r="Q855" s="227"/>
      <c r="R855" s="227"/>
      <c r="S855" s="227"/>
      <c r="T855" s="227"/>
      <c r="U855" s="227"/>
      <c r="V855" s="227"/>
      <c r="W855" s="227"/>
      <c r="X855" s="227"/>
      <c r="Y855" s="227"/>
      <c r="Z855" s="227"/>
    </row>
    <row r="856" spans="7:26" ht="12.75" customHeight="1">
      <c r="G856" s="174"/>
      <c r="N856" s="192"/>
      <c r="O856" s="227"/>
      <c r="P856" s="227"/>
      <c r="Q856" s="227"/>
      <c r="R856" s="227"/>
      <c r="S856" s="227"/>
      <c r="T856" s="227"/>
      <c r="U856" s="227"/>
      <c r="V856" s="227"/>
      <c r="W856" s="227"/>
      <c r="X856" s="227"/>
      <c r="Y856" s="227"/>
      <c r="Z856" s="227"/>
    </row>
    <row r="857" spans="7:26" ht="12.75" customHeight="1">
      <c r="G857" s="174"/>
      <c r="N857" s="192"/>
      <c r="O857" s="227"/>
      <c r="P857" s="227"/>
      <c r="Q857" s="227"/>
      <c r="R857" s="227"/>
      <c r="S857" s="227"/>
      <c r="T857" s="227"/>
      <c r="U857" s="227"/>
      <c r="V857" s="227"/>
      <c r="W857" s="227"/>
      <c r="X857" s="227"/>
      <c r="Y857" s="227"/>
      <c r="Z857" s="227"/>
    </row>
    <row r="858" spans="7:26" ht="12.75" customHeight="1">
      <c r="G858" s="174"/>
      <c r="N858" s="192"/>
      <c r="O858" s="227"/>
      <c r="P858" s="227"/>
      <c r="Q858" s="227"/>
      <c r="R858" s="227"/>
      <c r="S858" s="227"/>
      <c r="T858" s="227"/>
      <c r="U858" s="227"/>
      <c r="V858" s="227"/>
      <c r="W858" s="227"/>
      <c r="X858" s="227"/>
      <c r="Y858" s="227"/>
      <c r="Z858" s="227"/>
    </row>
    <row r="859" spans="7:26" ht="12.75" customHeight="1">
      <c r="G859" s="174"/>
      <c r="N859" s="192"/>
      <c r="O859" s="227"/>
      <c r="P859" s="227"/>
      <c r="Q859" s="227"/>
      <c r="R859" s="227"/>
      <c r="S859" s="227"/>
      <c r="T859" s="227"/>
      <c r="U859" s="227"/>
      <c r="V859" s="227"/>
      <c r="W859" s="227"/>
      <c r="X859" s="227"/>
      <c r="Y859" s="227"/>
      <c r="Z859" s="227"/>
    </row>
    <row r="860" spans="7:26" ht="12.75" customHeight="1">
      <c r="G860" s="174"/>
      <c r="N860" s="192"/>
      <c r="O860" s="227"/>
      <c r="P860" s="227"/>
      <c r="Q860" s="227"/>
      <c r="R860" s="227"/>
      <c r="S860" s="227"/>
      <c r="T860" s="227"/>
      <c r="U860" s="227"/>
      <c r="V860" s="227"/>
      <c r="W860" s="227"/>
      <c r="X860" s="227"/>
      <c r="Y860" s="227"/>
      <c r="Z860" s="227"/>
    </row>
    <row r="861" spans="7:26" ht="12.75" customHeight="1">
      <c r="G861" s="174"/>
      <c r="N861" s="192"/>
      <c r="O861" s="227"/>
      <c r="P861" s="227"/>
      <c r="Q861" s="227"/>
      <c r="R861" s="227"/>
      <c r="S861" s="227"/>
      <c r="T861" s="227"/>
      <c r="U861" s="227"/>
      <c r="V861" s="227"/>
      <c r="W861" s="227"/>
      <c r="X861" s="227"/>
      <c r="Y861" s="227"/>
      <c r="Z861" s="227"/>
    </row>
    <row r="862" spans="7:26" ht="12.75" customHeight="1">
      <c r="G862" s="174"/>
      <c r="N862" s="192"/>
      <c r="O862" s="227"/>
      <c r="P862" s="227"/>
      <c r="Q862" s="227"/>
      <c r="R862" s="227"/>
      <c r="S862" s="227"/>
      <c r="T862" s="227"/>
      <c r="U862" s="227"/>
      <c r="V862" s="227"/>
      <c r="W862" s="227"/>
      <c r="X862" s="227"/>
      <c r="Y862" s="227"/>
      <c r="Z862" s="227"/>
    </row>
    <row r="863" spans="7:26" ht="12.75" customHeight="1">
      <c r="G863" s="174"/>
      <c r="N863" s="192"/>
      <c r="O863" s="227"/>
      <c r="P863" s="227"/>
      <c r="Q863" s="227"/>
      <c r="R863" s="227"/>
      <c r="S863" s="227"/>
      <c r="T863" s="227"/>
      <c r="U863" s="227"/>
      <c r="V863" s="227"/>
      <c r="W863" s="227"/>
      <c r="X863" s="227"/>
      <c r="Y863" s="227"/>
      <c r="Z863" s="227"/>
    </row>
    <row r="864" spans="7:26" ht="12.75" customHeight="1">
      <c r="G864" s="174"/>
      <c r="N864" s="192"/>
      <c r="O864" s="227"/>
      <c r="P864" s="227"/>
      <c r="Q864" s="227"/>
      <c r="R864" s="227"/>
      <c r="S864" s="227"/>
      <c r="T864" s="227"/>
      <c r="U864" s="227"/>
      <c r="V864" s="227"/>
      <c r="W864" s="227"/>
      <c r="X864" s="227"/>
      <c r="Y864" s="227"/>
      <c r="Z864" s="227"/>
    </row>
    <row r="865" spans="7:26" ht="12.75" customHeight="1">
      <c r="G865" s="174"/>
      <c r="N865" s="192"/>
      <c r="O865" s="227"/>
      <c r="P865" s="227"/>
      <c r="Q865" s="227"/>
      <c r="R865" s="227"/>
      <c r="S865" s="227"/>
      <c r="T865" s="227"/>
      <c r="U865" s="227"/>
      <c r="V865" s="227"/>
      <c r="W865" s="227"/>
      <c r="X865" s="227"/>
      <c r="Y865" s="227"/>
      <c r="Z865" s="227"/>
    </row>
    <row r="866" spans="7:26" ht="12.75" customHeight="1">
      <c r="G866" s="174"/>
      <c r="N866" s="192"/>
      <c r="O866" s="227"/>
      <c r="P866" s="227"/>
      <c r="Q866" s="227"/>
      <c r="R866" s="227"/>
      <c r="S866" s="227"/>
      <c r="T866" s="227"/>
      <c r="U866" s="227"/>
      <c r="V866" s="227"/>
      <c r="W866" s="227"/>
      <c r="X866" s="227"/>
      <c r="Y866" s="227"/>
      <c r="Z866" s="227"/>
    </row>
    <row r="867" spans="7:26" ht="12.75" customHeight="1">
      <c r="G867" s="174"/>
      <c r="N867" s="192"/>
      <c r="O867" s="227"/>
      <c r="P867" s="227"/>
      <c r="Q867" s="227"/>
      <c r="R867" s="227"/>
      <c r="S867" s="227"/>
      <c r="T867" s="227"/>
      <c r="U867" s="227"/>
      <c r="V867" s="227"/>
      <c r="W867" s="227"/>
      <c r="X867" s="227"/>
      <c r="Y867" s="227"/>
      <c r="Z867" s="227"/>
    </row>
    <row r="868" spans="7:26" ht="12.75" customHeight="1">
      <c r="G868" s="174"/>
      <c r="N868" s="192"/>
      <c r="O868" s="227"/>
      <c r="P868" s="227"/>
      <c r="Q868" s="227"/>
      <c r="R868" s="227"/>
      <c r="S868" s="227"/>
      <c r="T868" s="227"/>
      <c r="U868" s="227"/>
      <c r="V868" s="227"/>
      <c r="W868" s="227"/>
      <c r="X868" s="227"/>
      <c r="Y868" s="227"/>
      <c r="Z868" s="227"/>
    </row>
    <row r="869" spans="7:26" ht="12.75" customHeight="1">
      <c r="G869" s="174"/>
      <c r="N869" s="192"/>
      <c r="O869" s="227"/>
      <c r="P869" s="227"/>
      <c r="Q869" s="227"/>
      <c r="R869" s="227"/>
      <c r="S869" s="227"/>
      <c r="T869" s="227"/>
      <c r="U869" s="227"/>
      <c r="V869" s="227"/>
      <c r="W869" s="227"/>
      <c r="X869" s="227"/>
      <c r="Y869" s="227"/>
      <c r="Z869" s="227"/>
    </row>
    <row r="870" spans="7:26" ht="12.75" customHeight="1">
      <c r="G870" s="174"/>
      <c r="N870" s="192"/>
      <c r="O870" s="227"/>
      <c r="P870" s="227"/>
      <c r="Q870" s="227"/>
      <c r="R870" s="227"/>
      <c r="S870" s="227"/>
      <c r="T870" s="227"/>
      <c r="U870" s="227"/>
      <c r="V870" s="227"/>
      <c r="W870" s="227"/>
      <c r="X870" s="227"/>
      <c r="Y870" s="227"/>
      <c r="Z870" s="227"/>
    </row>
    <row r="871" spans="7:26" ht="12.75" customHeight="1">
      <c r="G871" s="174"/>
      <c r="N871" s="192"/>
      <c r="O871" s="227"/>
      <c r="P871" s="227"/>
      <c r="Q871" s="227"/>
      <c r="R871" s="227"/>
      <c r="S871" s="227"/>
      <c r="T871" s="227"/>
      <c r="U871" s="227"/>
      <c r="V871" s="227"/>
      <c r="W871" s="227"/>
      <c r="X871" s="227"/>
      <c r="Y871" s="227"/>
      <c r="Z871" s="227"/>
    </row>
    <row r="872" spans="7:26" ht="12.75" customHeight="1">
      <c r="G872" s="174"/>
      <c r="N872" s="192"/>
      <c r="O872" s="227"/>
      <c r="P872" s="227"/>
      <c r="Q872" s="227"/>
      <c r="R872" s="227"/>
      <c r="S872" s="227"/>
      <c r="T872" s="227"/>
      <c r="U872" s="227"/>
      <c r="V872" s="227"/>
      <c r="W872" s="227"/>
      <c r="X872" s="227"/>
      <c r="Y872" s="227"/>
      <c r="Z872" s="227"/>
    </row>
    <row r="873" spans="7:26" ht="12.75" customHeight="1">
      <c r="G873" s="174"/>
      <c r="N873" s="192"/>
      <c r="O873" s="227"/>
      <c r="P873" s="227"/>
      <c r="Q873" s="227"/>
      <c r="R873" s="227"/>
      <c r="S873" s="227"/>
      <c r="T873" s="227"/>
      <c r="U873" s="227"/>
      <c r="V873" s="227"/>
      <c r="W873" s="227"/>
      <c r="X873" s="227"/>
      <c r="Y873" s="227"/>
      <c r="Z873" s="227"/>
    </row>
    <row r="874" spans="7:26" ht="12.75" customHeight="1">
      <c r="G874" s="174"/>
      <c r="N874" s="192"/>
      <c r="O874" s="227"/>
      <c r="P874" s="227"/>
      <c r="Q874" s="227"/>
      <c r="R874" s="227"/>
      <c r="S874" s="227"/>
      <c r="T874" s="227"/>
      <c r="U874" s="227"/>
      <c r="V874" s="227"/>
      <c r="W874" s="227"/>
      <c r="X874" s="227"/>
      <c r="Y874" s="227"/>
      <c r="Z874" s="227"/>
    </row>
    <row r="875" spans="7:26" ht="12.75" customHeight="1">
      <c r="G875" s="174"/>
      <c r="N875" s="192"/>
      <c r="O875" s="227"/>
      <c r="P875" s="227"/>
      <c r="Q875" s="227"/>
      <c r="R875" s="227"/>
      <c r="S875" s="227"/>
      <c r="T875" s="227"/>
      <c r="U875" s="227"/>
      <c r="V875" s="227"/>
      <c r="W875" s="227"/>
      <c r="X875" s="227"/>
      <c r="Y875" s="227"/>
      <c r="Z875" s="227"/>
    </row>
    <row r="876" spans="7:26" ht="12.75" customHeight="1">
      <c r="G876" s="174"/>
      <c r="N876" s="192"/>
      <c r="O876" s="227"/>
      <c r="P876" s="227"/>
      <c r="Q876" s="227"/>
      <c r="R876" s="227"/>
      <c r="S876" s="227"/>
      <c r="T876" s="227"/>
      <c r="U876" s="227"/>
      <c r="V876" s="227"/>
      <c r="W876" s="227"/>
      <c r="X876" s="227"/>
      <c r="Y876" s="227"/>
      <c r="Z876" s="227"/>
    </row>
    <row r="877" spans="7:26" ht="12.75" customHeight="1">
      <c r="G877" s="174"/>
      <c r="N877" s="192"/>
      <c r="O877" s="227"/>
      <c r="P877" s="227"/>
      <c r="Q877" s="227"/>
      <c r="R877" s="227"/>
      <c r="S877" s="227"/>
      <c r="T877" s="227"/>
      <c r="U877" s="227"/>
      <c r="V877" s="227"/>
      <c r="W877" s="227"/>
      <c r="X877" s="227"/>
      <c r="Y877" s="227"/>
      <c r="Z877" s="227"/>
    </row>
    <row r="878" spans="7:26" ht="12.75" customHeight="1">
      <c r="G878" s="174"/>
      <c r="N878" s="192"/>
      <c r="O878" s="227"/>
      <c r="P878" s="227"/>
      <c r="Q878" s="227"/>
      <c r="R878" s="227"/>
      <c r="S878" s="227"/>
      <c r="T878" s="227"/>
      <c r="U878" s="227"/>
      <c r="V878" s="227"/>
      <c r="W878" s="227"/>
      <c r="X878" s="227"/>
      <c r="Y878" s="227"/>
      <c r="Z878" s="227"/>
    </row>
    <row r="879" spans="7:26" ht="12.75" customHeight="1">
      <c r="G879" s="174"/>
      <c r="N879" s="192"/>
      <c r="O879" s="227"/>
      <c r="P879" s="227"/>
      <c r="Q879" s="227"/>
      <c r="R879" s="227"/>
      <c r="S879" s="227"/>
      <c r="T879" s="227"/>
      <c r="U879" s="227"/>
      <c r="V879" s="227"/>
      <c r="W879" s="227"/>
      <c r="X879" s="227"/>
      <c r="Y879" s="227"/>
      <c r="Z879" s="227"/>
    </row>
    <row r="880" spans="7:26" ht="12.75" customHeight="1">
      <c r="G880" s="174"/>
      <c r="N880" s="192"/>
      <c r="O880" s="227"/>
      <c r="P880" s="227"/>
      <c r="Q880" s="227"/>
      <c r="R880" s="227"/>
      <c r="S880" s="227"/>
      <c r="T880" s="227"/>
      <c r="U880" s="227"/>
      <c r="V880" s="227"/>
      <c r="W880" s="227"/>
      <c r="X880" s="227"/>
      <c r="Y880" s="227"/>
      <c r="Z880" s="227"/>
    </row>
    <row r="881" spans="7:26" ht="12.75" customHeight="1">
      <c r="G881" s="174"/>
      <c r="N881" s="192"/>
      <c r="O881" s="227"/>
      <c r="P881" s="227"/>
      <c r="Q881" s="227"/>
      <c r="R881" s="227"/>
      <c r="S881" s="227"/>
      <c r="T881" s="227"/>
      <c r="U881" s="227"/>
      <c r="V881" s="227"/>
      <c r="W881" s="227"/>
      <c r="X881" s="227"/>
      <c r="Y881" s="227"/>
      <c r="Z881" s="227"/>
    </row>
    <row r="882" spans="7:26" ht="12.75" customHeight="1">
      <c r="G882" s="174"/>
      <c r="N882" s="192"/>
      <c r="O882" s="227"/>
      <c r="P882" s="227"/>
      <c r="Q882" s="227"/>
      <c r="R882" s="227"/>
      <c r="S882" s="227"/>
      <c r="T882" s="227"/>
      <c r="U882" s="227"/>
      <c r="V882" s="227"/>
      <c r="W882" s="227"/>
      <c r="X882" s="227"/>
      <c r="Y882" s="227"/>
      <c r="Z882" s="227"/>
    </row>
    <row r="883" spans="7:26" ht="12.75" customHeight="1">
      <c r="G883" s="174"/>
      <c r="N883" s="192"/>
      <c r="O883" s="227"/>
      <c r="P883" s="227"/>
      <c r="Q883" s="227"/>
      <c r="R883" s="227"/>
      <c r="S883" s="227"/>
      <c r="T883" s="227"/>
      <c r="U883" s="227"/>
      <c r="V883" s="227"/>
      <c r="W883" s="227"/>
      <c r="X883" s="227"/>
      <c r="Y883" s="227"/>
      <c r="Z883" s="227"/>
    </row>
    <row r="884" spans="7:26" ht="12.75" customHeight="1">
      <c r="G884" s="174"/>
      <c r="N884" s="192"/>
      <c r="O884" s="227"/>
      <c r="P884" s="227"/>
      <c r="Q884" s="227"/>
      <c r="R884" s="227"/>
      <c r="S884" s="227"/>
      <c r="T884" s="227"/>
      <c r="U884" s="227"/>
      <c r="V884" s="227"/>
      <c r="W884" s="227"/>
      <c r="X884" s="227"/>
      <c r="Y884" s="227"/>
      <c r="Z884" s="227"/>
    </row>
    <row r="885" spans="7:26" ht="12.75" customHeight="1">
      <c r="G885" s="174"/>
      <c r="N885" s="192"/>
      <c r="O885" s="227"/>
      <c r="P885" s="227"/>
      <c r="Q885" s="227"/>
      <c r="R885" s="227"/>
      <c r="S885" s="227"/>
      <c r="T885" s="227"/>
      <c r="U885" s="227"/>
      <c r="V885" s="227"/>
      <c r="W885" s="227"/>
      <c r="X885" s="227"/>
      <c r="Y885" s="227"/>
      <c r="Z885" s="227"/>
    </row>
    <row r="886" spans="7:26" ht="12.75" customHeight="1">
      <c r="G886" s="174"/>
      <c r="N886" s="192"/>
      <c r="O886" s="227"/>
      <c r="P886" s="227"/>
      <c r="Q886" s="227"/>
      <c r="R886" s="227"/>
      <c r="S886" s="227"/>
      <c r="T886" s="227"/>
      <c r="U886" s="227"/>
      <c r="V886" s="227"/>
      <c r="W886" s="227"/>
      <c r="X886" s="227"/>
      <c r="Y886" s="227"/>
      <c r="Z886" s="227"/>
    </row>
    <row r="887" spans="7:26" ht="12.75" customHeight="1">
      <c r="G887" s="174"/>
      <c r="N887" s="192"/>
      <c r="O887" s="227"/>
      <c r="P887" s="227"/>
      <c r="Q887" s="227"/>
      <c r="R887" s="227"/>
      <c r="S887" s="227"/>
      <c r="T887" s="227"/>
      <c r="U887" s="227"/>
      <c r="V887" s="227"/>
      <c r="W887" s="227"/>
      <c r="X887" s="227"/>
      <c r="Y887" s="227"/>
      <c r="Z887" s="227"/>
    </row>
    <row r="888" spans="7:26" ht="12.75" customHeight="1">
      <c r="G888" s="174"/>
      <c r="N888" s="192"/>
      <c r="O888" s="227"/>
      <c r="P888" s="227"/>
      <c r="Q888" s="227"/>
      <c r="R888" s="227"/>
      <c r="S888" s="227"/>
      <c r="T888" s="227"/>
      <c r="U888" s="227"/>
      <c r="V888" s="227"/>
      <c r="W888" s="227"/>
      <c r="X888" s="227"/>
      <c r="Y888" s="227"/>
      <c r="Z888" s="227"/>
    </row>
    <row r="889" spans="7:26" ht="12.75" customHeight="1">
      <c r="G889" s="174"/>
      <c r="N889" s="192"/>
      <c r="O889" s="227"/>
      <c r="P889" s="227"/>
      <c r="Q889" s="227"/>
      <c r="R889" s="227"/>
      <c r="S889" s="227"/>
      <c r="T889" s="227"/>
      <c r="U889" s="227"/>
      <c r="V889" s="227"/>
      <c r="W889" s="227"/>
      <c r="X889" s="227"/>
      <c r="Y889" s="227"/>
      <c r="Z889" s="227"/>
    </row>
    <row r="890" spans="7:26" ht="12.75" customHeight="1">
      <c r="G890" s="174"/>
      <c r="N890" s="192"/>
      <c r="O890" s="227"/>
      <c r="P890" s="227"/>
      <c r="Q890" s="227"/>
      <c r="R890" s="227"/>
      <c r="S890" s="227"/>
      <c r="T890" s="227"/>
      <c r="U890" s="227"/>
      <c r="V890" s="227"/>
      <c r="W890" s="227"/>
      <c r="X890" s="227"/>
      <c r="Y890" s="227"/>
      <c r="Z890" s="227"/>
    </row>
    <row r="891" spans="7:26" ht="12.75" customHeight="1">
      <c r="G891" s="174"/>
      <c r="N891" s="192"/>
      <c r="O891" s="227"/>
      <c r="P891" s="227"/>
      <c r="Q891" s="227"/>
      <c r="R891" s="227"/>
      <c r="S891" s="227"/>
      <c r="T891" s="227"/>
      <c r="U891" s="227"/>
      <c r="V891" s="227"/>
      <c r="W891" s="227"/>
      <c r="X891" s="227"/>
      <c r="Y891" s="227"/>
      <c r="Z891" s="227"/>
    </row>
    <row r="892" spans="7:26" ht="12.75" customHeight="1">
      <c r="G892" s="174"/>
      <c r="N892" s="192"/>
      <c r="O892" s="227"/>
      <c r="P892" s="227"/>
      <c r="Q892" s="227"/>
      <c r="R892" s="227"/>
      <c r="S892" s="227"/>
      <c r="T892" s="227"/>
      <c r="U892" s="227"/>
      <c r="V892" s="227"/>
      <c r="W892" s="227"/>
      <c r="X892" s="227"/>
      <c r="Y892" s="227"/>
      <c r="Z892" s="227"/>
    </row>
    <row r="893" spans="7:26" ht="12.75" customHeight="1">
      <c r="G893" s="174"/>
      <c r="N893" s="192"/>
      <c r="O893" s="227"/>
      <c r="P893" s="227"/>
      <c r="Q893" s="227"/>
      <c r="R893" s="227"/>
      <c r="S893" s="227"/>
      <c r="T893" s="227"/>
      <c r="U893" s="227"/>
      <c r="V893" s="227"/>
      <c r="W893" s="227"/>
      <c r="X893" s="227"/>
      <c r="Y893" s="227"/>
      <c r="Z893" s="227"/>
    </row>
    <row r="894" spans="7:26" ht="12.75" customHeight="1">
      <c r="G894" s="174"/>
      <c r="N894" s="192"/>
      <c r="O894" s="227"/>
      <c r="P894" s="227"/>
      <c r="Q894" s="227"/>
      <c r="R894" s="227"/>
      <c r="S894" s="227"/>
      <c r="T894" s="227"/>
      <c r="U894" s="227"/>
      <c r="V894" s="227"/>
      <c r="W894" s="227"/>
      <c r="X894" s="227"/>
      <c r="Y894" s="227"/>
      <c r="Z894" s="227"/>
    </row>
    <row r="895" spans="7:26" ht="12.75" customHeight="1">
      <c r="G895" s="174"/>
      <c r="N895" s="192"/>
      <c r="O895" s="227"/>
      <c r="P895" s="227"/>
      <c r="Q895" s="227"/>
      <c r="R895" s="227"/>
      <c r="S895" s="227"/>
      <c r="T895" s="227"/>
      <c r="U895" s="227"/>
      <c r="V895" s="227"/>
      <c r="W895" s="227"/>
      <c r="X895" s="227"/>
      <c r="Y895" s="227"/>
      <c r="Z895" s="227"/>
    </row>
    <row r="896" spans="7:26" ht="12.75" customHeight="1">
      <c r="G896" s="174"/>
      <c r="N896" s="192"/>
      <c r="O896" s="227"/>
      <c r="P896" s="227"/>
      <c r="Q896" s="227"/>
      <c r="R896" s="227"/>
      <c r="S896" s="227"/>
      <c r="T896" s="227"/>
      <c r="U896" s="227"/>
      <c r="V896" s="227"/>
      <c r="W896" s="227"/>
      <c r="X896" s="227"/>
      <c r="Y896" s="227"/>
      <c r="Z896" s="227"/>
    </row>
    <row r="897" spans="7:26" ht="12.75" customHeight="1">
      <c r="G897" s="174"/>
      <c r="N897" s="192"/>
      <c r="O897" s="227"/>
      <c r="P897" s="227"/>
      <c r="Q897" s="227"/>
      <c r="R897" s="227"/>
      <c r="S897" s="227"/>
      <c r="T897" s="227"/>
      <c r="U897" s="227"/>
      <c r="V897" s="227"/>
      <c r="W897" s="227"/>
      <c r="X897" s="227"/>
      <c r="Y897" s="227"/>
      <c r="Z897" s="227"/>
    </row>
    <row r="898" spans="7:26" ht="12.75" customHeight="1">
      <c r="G898" s="174"/>
      <c r="N898" s="192"/>
      <c r="O898" s="227"/>
      <c r="P898" s="227"/>
      <c r="Q898" s="227"/>
      <c r="R898" s="227"/>
      <c r="S898" s="227"/>
      <c r="T898" s="227"/>
      <c r="U898" s="227"/>
      <c r="V898" s="227"/>
      <c r="W898" s="227"/>
      <c r="X898" s="227"/>
      <c r="Y898" s="227"/>
      <c r="Z898" s="227"/>
    </row>
    <row r="899" spans="7:26" ht="12.75" customHeight="1">
      <c r="G899" s="174"/>
      <c r="N899" s="192"/>
      <c r="O899" s="227"/>
      <c r="P899" s="227"/>
      <c r="Q899" s="227"/>
      <c r="R899" s="227"/>
      <c r="S899" s="227"/>
      <c r="T899" s="227"/>
      <c r="U899" s="227"/>
      <c r="V899" s="227"/>
      <c r="W899" s="227"/>
      <c r="X899" s="227"/>
      <c r="Y899" s="227"/>
      <c r="Z899" s="227"/>
    </row>
    <row r="900" spans="7:26" ht="12.75" customHeight="1">
      <c r="G900" s="174"/>
      <c r="N900" s="192"/>
      <c r="O900" s="227"/>
      <c r="P900" s="227"/>
      <c r="Q900" s="227"/>
      <c r="R900" s="227"/>
      <c r="S900" s="227"/>
      <c r="T900" s="227"/>
      <c r="U900" s="227"/>
      <c r="V900" s="227"/>
      <c r="W900" s="227"/>
      <c r="X900" s="227"/>
      <c r="Y900" s="227"/>
      <c r="Z900" s="227"/>
    </row>
    <row r="901" spans="7:26" ht="12.75" customHeight="1">
      <c r="G901" s="174"/>
      <c r="N901" s="192"/>
      <c r="O901" s="227"/>
      <c r="P901" s="227"/>
      <c r="Q901" s="227"/>
      <c r="R901" s="227"/>
      <c r="S901" s="227"/>
      <c r="T901" s="227"/>
      <c r="U901" s="227"/>
      <c r="V901" s="227"/>
      <c r="W901" s="227"/>
      <c r="X901" s="227"/>
      <c r="Y901" s="227"/>
      <c r="Z901" s="227"/>
    </row>
    <row r="902" spans="7:26" ht="12.75" customHeight="1">
      <c r="G902" s="174"/>
      <c r="N902" s="192"/>
      <c r="O902" s="227"/>
      <c r="P902" s="227"/>
      <c r="Q902" s="227"/>
      <c r="R902" s="227"/>
      <c r="S902" s="227"/>
      <c r="T902" s="227"/>
      <c r="U902" s="227"/>
      <c r="V902" s="227"/>
      <c r="W902" s="227"/>
      <c r="X902" s="227"/>
      <c r="Y902" s="227"/>
      <c r="Z902" s="227"/>
    </row>
    <row r="903" spans="7:26" ht="12.75" customHeight="1">
      <c r="G903" s="174"/>
      <c r="N903" s="192"/>
      <c r="O903" s="227"/>
      <c r="P903" s="227"/>
      <c r="Q903" s="227"/>
      <c r="R903" s="227"/>
      <c r="S903" s="227"/>
      <c r="T903" s="227"/>
      <c r="U903" s="227"/>
      <c r="V903" s="227"/>
      <c r="W903" s="227"/>
      <c r="X903" s="227"/>
      <c r="Y903" s="227"/>
      <c r="Z903" s="227"/>
    </row>
    <row r="904" spans="7:26" ht="12.75" customHeight="1">
      <c r="G904" s="174"/>
      <c r="N904" s="192"/>
      <c r="O904" s="227"/>
      <c r="P904" s="227"/>
      <c r="Q904" s="227"/>
      <c r="R904" s="227"/>
      <c r="S904" s="227"/>
      <c r="T904" s="227"/>
      <c r="U904" s="227"/>
      <c r="V904" s="227"/>
      <c r="W904" s="227"/>
      <c r="X904" s="227"/>
      <c r="Y904" s="227"/>
      <c r="Z904" s="227"/>
    </row>
    <row r="905" spans="7:26" ht="12.75" customHeight="1">
      <c r="G905" s="174"/>
      <c r="N905" s="192"/>
      <c r="O905" s="227"/>
      <c r="P905" s="227"/>
      <c r="Q905" s="227"/>
      <c r="R905" s="227"/>
      <c r="S905" s="227"/>
      <c r="T905" s="227"/>
      <c r="U905" s="227"/>
      <c r="V905" s="227"/>
      <c r="W905" s="227"/>
      <c r="X905" s="227"/>
      <c r="Y905" s="227"/>
      <c r="Z905" s="227"/>
    </row>
    <row r="906" spans="7:26" ht="12.75" customHeight="1">
      <c r="G906" s="174"/>
      <c r="N906" s="192"/>
      <c r="O906" s="227"/>
      <c r="P906" s="227"/>
      <c r="Q906" s="227"/>
      <c r="R906" s="227"/>
      <c r="S906" s="227"/>
      <c r="T906" s="227"/>
      <c r="U906" s="227"/>
      <c r="V906" s="227"/>
      <c r="W906" s="227"/>
      <c r="X906" s="227"/>
      <c r="Y906" s="227"/>
      <c r="Z906" s="227"/>
    </row>
    <row r="907" spans="7:26" ht="12.75" customHeight="1">
      <c r="G907" s="174"/>
      <c r="N907" s="192"/>
      <c r="O907" s="227"/>
      <c r="P907" s="227"/>
      <c r="Q907" s="227"/>
      <c r="R907" s="227"/>
      <c r="S907" s="227"/>
      <c r="T907" s="227"/>
      <c r="U907" s="227"/>
      <c r="V907" s="227"/>
      <c r="W907" s="227"/>
      <c r="X907" s="227"/>
      <c r="Y907" s="227"/>
      <c r="Z907" s="227"/>
    </row>
    <row r="908" spans="7:26" ht="12.75" customHeight="1">
      <c r="G908" s="174"/>
      <c r="N908" s="192"/>
      <c r="O908" s="227"/>
      <c r="P908" s="227"/>
      <c r="Q908" s="227"/>
      <c r="R908" s="227"/>
      <c r="S908" s="227"/>
      <c r="T908" s="227"/>
      <c r="U908" s="227"/>
      <c r="V908" s="227"/>
      <c r="W908" s="227"/>
      <c r="X908" s="227"/>
      <c r="Y908" s="227"/>
      <c r="Z908" s="227"/>
    </row>
    <row r="909" spans="7:26" ht="12.75" customHeight="1">
      <c r="G909" s="174"/>
      <c r="N909" s="192"/>
      <c r="O909" s="227"/>
      <c r="P909" s="227"/>
      <c r="Q909" s="227"/>
      <c r="R909" s="227"/>
      <c r="S909" s="227"/>
      <c r="T909" s="227"/>
      <c r="U909" s="227"/>
      <c r="V909" s="227"/>
      <c r="W909" s="227"/>
      <c r="X909" s="227"/>
      <c r="Y909" s="227"/>
      <c r="Z909" s="227"/>
    </row>
    <row r="910" spans="7:26" ht="12.75" customHeight="1">
      <c r="G910" s="174"/>
      <c r="N910" s="192"/>
      <c r="O910" s="227"/>
      <c r="P910" s="227"/>
      <c r="Q910" s="227"/>
      <c r="R910" s="227"/>
      <c r="S910" s="227"/>
      <c r="T910" s="227"/>
      <c r="U910" s="227"/>
      <c r="V910" s="227"/>
      <c r="W910" s="227"/>
      <c r="X910" s="227"/>
      <c r="Y910" s="227"/>
      <c r="Z910" s="227"/>
    </row>
    <row r="911" spans="7:26" ht="12.75" customHeight="1">
      <c r="G911" s="174"/>
      <c r="N911" s="192"/>
      <c r="O911" s="227"/>
      <c r="P911" s="227"/>
      <c r="Q911" s="227"/>
      <c r="R911" s="227"/>
      <c r="S911" s="227"/>
      <c r="T911" s="227"/>
      <c r="U911" s="227"/>
      <c r="V911" s="227"/>
      <c r="W911" s="227"/>
      <c r="X911" s="227"/>
      <c r="Y911" s="227"/>
      <c r="Z911" s="227"/>
    </row>
    <row r="912" spans="7:26" ht="12.75" customHeight="1">
      <c r="G912" s="174"/>
      <c r="N912" s="192"/>
      <c r="O912" s="227"/>
      <c r="P912" s="227"/>
      <c r="Q912" s="227"/>
      <c r="R912" s="227"/>
      <c r="S912" s="227"/>
      <c r="T912" s="227"/>
      <c r="U912" s="227"/>
      <c r="V912" s="227"/>
      <c r="W912" s="227"/>
      <c r="X912" s="227"/>
      <c r="Y912" s="227"/>
      <c r="Z912" s="227"/>
    </row>
    <row r="913" spans="7:26" ht="12.75" customHeight="1">
      <c r="G913" s="174"/>
      <c r="N913" s="192"/>
      <c r="O913" s="227"/>
      <c r="P913" s="227"/>
      <c r="Q913" s="227"/>
      <c r="R913" s="227"/>
      <c r="S913" s="227"/>
      <c r="T913" s="227"/>
      <c r="U913" s="227"/>
      <c r="V913" s="227"/>
      <c r="W913" s="227"/>
      <c r="X913" s="227"/>
      <c r="Y913" s="227"/>
      <c r="Z913" s="227"/>
    </row>
    <row r="914" spans="7:26" ht="12.75" customHeight="1">
      <c r="G914" s="174"/>
      <c r="N914" s="192"/>
      <c r="O914" s="227"/>
      <c r="P914" s="227"/>
      <c r="Q914" s="227"/>
      <c r="R914" s="227"/>
      <c r="S914" s="227"/>
      <c r="T914" s="227"/>
      <c r="U914" s="227"/>
      <c r="V914" s="227"/>
      <c r="W914" s="227"/>
      <c r="X914" s="227"/>
      <c r="Y914" s="227"/>
      <c r="Z914" s="227"/>
    </row>
    <row r="915" spans="7:26" ht="12.75" customHeight="1">
      <c r="G915" s="174"/>
      <c r="N915" s="192"/>
      <c r="O915" s="227"/>
      <c r="P915" s="227"/>
      <c r="Q915" s="227"/>
      <c r="R915" s="227"/>
      <c r="S915" s="227"/>
      <c r="T915" s="227"/>
      <c r="U915" s="227"/>
      <c r="V915" s="227"/>
      <c r="W915" s="227"/>
      <c r="X915" s="227"/>
      <c r="Y915" s="227"/>
      <c r="Z915" s="227"/>
    </row>
    <row r="916" spans="7:26" ht="12.75" customHeight="1">
      <c r="G916" s="174"/>
      <c r="N916" s="192"/>
      <c r="O916" s="227"/>
      <c r="P916" s="227"/>
      <c r="Q916" s="227"/>
      <c r="R916" s="227"/>
      <c r="S916" s="227"/>
      <c r="T916" s="227"/>
      <c r="U916" s="227"/>
      <c r="V916" s="227"/>
      <c r="W916" s="227"/>
      <c r="X916" s="227"/>
      <c r="Y916" s="227"/>
      <c r="Z916" s="227"/>
    </row>
    <row r="917" spans="7:26" ht="12.75" customHeight="1">
      <c r="G917" s="174"/>
      <c r="N917" s="192"/>
      <c r="O917" s="227"/>
      <c r="P917" s="227"/>
      <c r="Q917" s="227"/>
      <c r="R917" s="227"/>
      <c r="S917" s="227"/>
      <c r="T917" s="227"/>
      <c r="U917" s="227"/>
      <c r="V917" s="227"/>
      <c r="W917" s="227"/>
      <c r="X917" s="227"/>
      <c r="Y917" s="227"/>
      <c r="Z917" s="227"/>
    </row>
    <row r="918" spans="7:26" ht="12.75" customHeight="1">
      <c r="G918" s="174"/>
      <c r="N918" s="192"/>
      <c r="O918" s="227"/>
      <c r="P918" s="227"/>
      <c r="Q918" s="227"/>
      <c r="R918" s="227"/>
      <c r="S918" s="227"/>
      <c r="T918" s="227"/>
      <c r="U918" s="227"/>
      <c r="V918" s="227"/>
      <c r="W918" s="227"/>
      <c r="X918" s="227"/>
      <c r="Y918" s="227"/>
      <c r="Z918" s="227"/>
    </row>
    <row r="919" spans="7:26" ht="12.75" customHeight="1">
      <c r="G919" s="174"/>
      <c r="N919" s="192"/>
      <c r="O919" s="227"/>
      <c r="P919" s="227"/>
      <c r="Q919" s="227"/>
      <c r="R919" s="227"/>
      <c r="S919" s="227"/>
      <c r="T919" s="227"/>
      <c r="U919" s="227"/>
      <c r="V919" s="227"/>
      <c r="W919" s="227"/>
      <c r="X919" s="227"/>
      <c r="Y919" s="227"/>
      <c r="Z919" s="227"/>
    </row>
    <row r="920" spans="7:26" ht="12.75" customHeight="1">
      <c r="G920" s="174"/>
      <c r="N920" s="192"/>
      <c r="O920" s="227"/>
      <c r="P920" s="227"/>
      <c r="Q920" s="227"/>
      <c r="R920" s="227"/>
      <c r="S920" s="227"/>
      <c r="T920" s="227"/>
      <c r="U920" s="227"/>
      <c r="V920" s="227"/>
      <c r="W920" s="227"/>
      <c r="X920" s="227"/>
      <c r="Y920" s="227"/>
      <c r="Z920" s="227"/>
    </row>
    <row r="921" spans="7:26" ht="12.75" customHeight="1">
      <c r="G921" s="174"/>
      <c r="N921" s="192"/>
      <c r="O921" s="227"/>
      <c r="P921" s="227"/>
      <c r="Q921" s="227"/>
      <c r="R921" s="227"/>
      <c r="S921" s="227"/>
      <c r="T921" s="227"/>
      <c r="U921" s="227"/>
      <c r="V921" s="227"/>
      <c r="W921" s="227"/>
      <c r="X921" s="227"/>
      <c r="Y921" s="227"/>
      <c r="Z921" s="227"/>
    </row>
    <row r="922" spans="7:26" ht="12.75" customHeight="1">
      <c r="G922" s="174"/>
      <c r="N922" s="192"/>
      <c r="O922" s="227"/>
      <c r="P922" s="227"/>
      <c r="Q922" s="227"/>
      <c r="R922" s="227"/>
      <c r="S922" s="227"/>
      <c r="T922" s="227"/>
      <c r="U922" s="227"/>
      <c r="V922" s="227"/>
      <c r="W922" s="227"/>
      <c r="X922" s="227"/>
      <c r="Y922" s="227"/>
      <c r="Z922" s="227"/>
    </row>
    <row r="923" spans="7:26" ht="12.75" customHeight="1">
      <c r="G923" s="174"/>
      <c r="N923" s="192"/>
      <c r="O923" s="227"/>
      <c r="P923" s="227"/>
      <c r="Q923" s="227"/>
      <c r="R923" s="227"/>
      <c r="S923" s="227"/>
      <c r="T923" s="227"/>
      <c r="U923" s="227"/>
      <c r="V923" s="227"/>
      <c r="W923" s="227"/>
      <c r="X923" s="227"/>
      <c r="Y923" s="227"/>
      <c r="Z923" s="227"/>
    </row>
    <row r="924" spans="7:26" ht="12.75" customHeight="1">
      <c r="G924" s="174"/>
      <c r="N924" s="192"/>
      <c r="O924" s="227"/>
      <c r="P924" s="227"/>
      <c r="Q924" s="227"/>
      <c r="R924" s="227"/>
      <c r="S924" s="227"/>
      <c r="T924" s="227"/>
      <c r="U924" s="227"/>
      <c r="V924" s="227"/>
      <c r="W924" s="227"/>
      <c r="X924" s="227"/>
      <c r="Y924" s="227"/>
      <c r="Z924" s="227"/>
    </row>
    <row r="925" spans="7:26" ht="12.75" customHeight="1">
      <c r="G925" s="174"/>
      <c r="N925" s="192"/>
      <c r="O925" s="227"/>
      <c r="P925" s="227"/>
      <c r="Q925" s="227"/>
      <c r="R925" s="227"/>
      <c r="S925" s="227"/>
      <c r="T925" s="227"/>
      <c r="U925" s="227"/>
      <c r="V925" s="227"/>
      <c r="W925" s="227"/>
      <c r="X925" s="227"/>
      <c r="Y925" s="227"/>
      <c r="Z925" s="227"/>
    </row>
    <row r="926" spans="7:26" ht="12.75" customHeight="1">
      <c r="G926" s="174"/>
      <c r="N926" s="192"/>
      <c r="O926" s="227"/>
      <c r="P926" s="227"/>
      <c r="Q926" s="227"/>
      <c r="R926" s="227"/>
      <c r="S926" s="227"/>
      <c r="T926" s="227"/>
      <c r="U926" s="227"/>
      <c r="V926" s="227"/>
      <c r="W926" s="227"/>
      <c r="X926" s="227"/>
      <c r="Y926" s="227"/>
      <c r="Z926" s="227"/>
    </row>
    <row r="927" spans="7:26" ht="12.75" customHeight="1">
      <c r="G927" s="174"/>
      <c r="N927" s="192"/>
      <c r="O927" s="227"/>
      <c r="P927" s="227"/>
      <c r="Q927" s="227"/>
      <c r="R927" s="227"/>
      <c r="S927" s="227"/>
      <c r="T927" s="227"/>
      <c r="U927" s="227"/>
      <c r="V927" s="227"/>
      <c r="W927" s="227"/>
      <c r="X927" s="227"/>
      <c r="Y927" s="227"/>
      <c r="Z927" s="227"/>
    </row>
    <row r="928" spans="7:26" ht="12.75" customHeight="1">
      <c r="G928" s="174"/>
      <c r="N928" s="192"/>
      <c r="O928" s="227"/>
      <c r="P928" s="227"/>
      <c r="Q928" s="227"/>
      <c r="R928" s="227"/>
      <c r="S928" s="227"/>
      <c r="T928" s="227"/>
      <c r="U928" s="227"/>
      <c r="V928" s="227"/>
      <c r="W928" s="227"/>
      <c r="X928" s="227"/>
      <c r="Y928" s="227"/>
      <c r="Z928" s="227"/>
    </row>
    <row r="929" spans="7:26" ht="12.75" customHeight="1">
      <c r="G929" s="174"/>
      <c r="N929" s="192"/>
      <c r="O929" s="227"/>
      <c r="P929" s="227"/>
      <c r="Q929" s="227"/>
      <c r="R929" s="227"/>
      <c r="S929" s="227"/>
      <c r="T929" s="227"/>
      <c r="U929" s="227"/>
      <c r="V929" s="227"/>
      <c r="W929" s="227"/>
      <c r="X929" s="227"/>
      <c r="Y929" s="227"/>
      <c r="Z929" s="227"/>
    </row>
    <row r="930" spans="7:26" ht="12.75" customHeight="1">
      <c r="G930" s="174"/>
      <c r="N930" s="192"/>
      <c r="O930" s="227"/>
      <c r="P930" s="227"/>
      <c r="Q930" s="227"/>
      <c r="R930" s="227"/>
      <c r="S930" s="227"/>
      <c r="T930" s="227"/>
      <c r="U930" s="227"/>
      <c r="V930" s="227"/>
      <c r="W930" s="227"/>
      <c r="X930" s="227"/>
      <c r="Y930" s="227"/>
      <c r="Z930" s="227"/>
    </row>
    <row r="931" spans="7:26" ht="12.75" customHeight="1">
      <c r="G931" s="174"/>
      <c r="N931" s="192"/>
      <c r="O931" s="227"/>
      <c r="P931" s="227"/>
      <c r="Q931" s="227"/>
      <c r="R931" s="227"/>
      <c r="S931" s="227"/>
      <c r="T931" s="227"/>
      <c r="U931" s="227"/>
      <c r="V931" s="227"/>
      <c r="W931" s="227"/>
      <c r="X931" s="227"/>
      <c r="Y931" s="227"/>
      <c r="Z931" s="227"/>
    </row>
    <row r="932" spans="7:26" ht="12.75" customHeight="1">
      <c r="G932" s="174"/>
      <c r="N932" s="192"/>
      <c r="O932" s="227"/>
      <c r="P932" s="227"/>
      <c r="Q932" s="227"/>
      <c r="R932" s="227"/>
      <c r="S932" s="227"/>
      <c r="T932" s="227"/>
      <c r="U932" s="227"/>
      <c r="V932" s="227"/>
      <c r="W932" s="227"/>
      <c r="X932" s="227"/>
      <c r="Y932" s="227"/>
      <c r="Z932" s="227"/>
    </row>
    <row r="933" spans="7:26" ht="12.75" customHeight="1">
      <c r="G933" s="174"/>
      <c r="N933" s="192"/>
      <c r="O933" s="227"/>
      <c r="P933" s="227"/>
      <c r="Q933" s="227"/>
      <c r="R933" s="227"/>
      <c r="S933" s="227"/>
      <c r="T933" s="227"/>
      <c r="U933" s="227"/>
      <c r="V933" s="227"/>
      <c r="W933" s="227"/>
      <c r="X933" s="227"/>
      <c r="Y933" s="227"/>
      <c r="Z933" s="227"/>
    </row>
    <row r="934" spans="7:26" ht="12.75" customHeight="1">
      <c r="G934" s="174"/>
      <c r="N934" s="192"/>
      <c r="O934" s="227"/>
      <c r="P934" s="227"/>
      <c r="Q934" s="227"/>
      <c r="R934" s="227"/>
      <c r="S934" s="227"/>
      <c r="T934" s="227"/>
      <c r="U934" s="227"/>
      <c r="V934" s="227"/>
      <c r="W934" s="227"/>
      <c r="X934" s="227"/>
      <c r="Y934" s="227"/>
      <c r="Z934" s="227"/>
    </row>
    <row r="935" spans="7:26" ht="12.75" customHeight="1">
      <c r="G935" s="174"/>
      <c r="N935" s="192"/>
      <c r="O935" s="227"/>
      <c r="P935" s="227"/>
      <c r="Q935" s="227"/>
      <c r="R935" s="227"/>
      <c r="S935" s="227"/>
      <c r="T935" s="227"/>
      <c r="U935" s="227"/>
      <c r="V935" s="227"/>
      <c r="W935" s="227"/>
      <c r="X935" s="227"/>
      <c r="Y935" s="227"/>
      <c r="Z935" s="227"/>
    </row>
    <row r="936" spans="7:26" ht="12.75" customHeight="1">
      <c r="G936" s="174"/>
      <c r="N936" s="192"/>
      <c r="O936" s="227"/>
      <c r="P936" s="227"/>
      <c r="Q936" s="227"/>
      <c r="R936" s="227"/>
      <c r="S936" s="227"/>
      <c r="T936" s="227"/>
      <c r="U936" s="227"/>
      <c r="V936" s="227"/>
      <c r="W936" s="227"/>
      <c r="X936" s="227"/>
      <c r="Y936" s="227"/>
      <c r="Z936" s="227"/>
    </row>
    <row r="937" spans="7:26" ht="12.75" customHeight="1">
      <c r="G937" s="174"/>
      <c r="N937" s="192"/>
      <c r="O937" s="227"/>
      <c r="P937" s="227"/>
      <c r="Q937" s="227"/>
      <c r="R937" s="227"/>
      <c r="S937" s="227"/>
      <c r="T937" s="227"/>
      <c r="U937" s="227"/>
      <c r="V937" s="227"/>
      <c r="W937" s="227"/>
      <c r="X937" s="227"/>
      <c r="Y937" s="227"/>
      <c r="Z937" s="227"/>
    </row>
    <row r="938" spans="7:26" ht="12.75" customHeight="1">
      <c r="G938" s="174"/>
      <c r="N938" s="192"/>
      <c r="O938" s="227"/>
      <c r="P938" s="227"/>
      <c r="Q938" s="227"/>
      <c r="R938" s="227"/>
      <c r="S938" s="227"/>
      <c r="T938" s="227"/>
      <c r="U938" s="227"/>
      <c r="V938" s="227"/>
      <c r="W938" s="227"/>
      <c r="X938" s="227"/>
      <c r="Y938" s="227"/>
      <c r="Z938" s="227"/>
    </row>
    <row r="939" spans="7:26" ht="12.75" customHeight="1">
      <c r="G939" s="174"/>
      <c r="N939" s="192"/>
      <c r="O939" s="227"/>
      <c r="P939" s="227"/>
      <c r="Q939" s="227"/>
      <c r="R939" s="227"/>
      <c r="S939" s="227"/>
      <c r="T939" s="227"/>
      <c r="U939" s="227"/>
      <c r="V939" s="227"/>
      <c r="W939" s="227"/>
      <c r="X939" s="227"/>
      <c r="Y939" s="227"/>
      <c r="Z939" s="227"/>
    </row>
    <row r="940" spans="7:26" ht="12.75" customHeight="1">
      <c r="G940" s="174"/>
      <c r="N940" s="192"/>
      <c r="O940" s="227"/>
      <c r="P940" s="227"/>
      <c r="Q940" s="227"/>
      <c r="R940" s="227"/>
      <c r="S940" s="227"/>
      <c r="T940" s="227"/>
      <c r="U940" s="227"/>
      <c r="V940" s="227"/>
      <c r="W940" s="227"/>
      <c r="X940" s="227"/>
      <c r="Y940" s="227"/>
      <c r="Z940" s="227"/>
    </row>
    <row r="941" spans="7:26" ht="12.75" customHeight="1">
      <c r="G941" s="174"/>
      <c r="N941" s="192"/>
      <c r="O941" s="227"/>
      <c r="P941" s="227"/>
      <c r="Q941" s="227"/>
      <c r="R941" s="227"/>
      <c r="S941" s="227"/>
      <c r="T941" s="227"/>
      <c r="U941" s="227"/>
      <c r="V941" s="227"/>
      <c r="W941" s="227"/>
      <c r="X941" s="227"/>
      <c r="Y941" s="227"/>
      <c r="Z941" s="227"/>
    </row>
    <row r="942" spans="7:26" ht="12.75" customHeight="1">
      <c r="G942" s="174"/>
      <c r="N942" s="192"/>
      <c r="O942" s="227"/>
      <c r="P942" s="227"/>
      <c r="Q942" s="227"/>
      <c r="R942" s="227"/>
      <c r="S942" s="227"/>
      <c r="T942" s="227"/>
      <c r="U942" s="227"/>
      <c r="V942" s="227"/>
      <c r="W942" s="227"/>
      <c r="X942" s="227"/>
      <c r="Y942" s="227"/>
      <c r="Z942" s="227"/>
    </row>
    <row r="943" spans="7:26" ht="12.75" customHeight="1">
      <c r="G943" s="174"/>
      <c r="N943" s="192"/>
      <c r="O943" s="227"/>
      <c r="P943" s="227"/>
      <c r="Q943" s="227"/>
      <c r="R943" s="227"/>
      <c r="S943" s="227"/>
      <c r="T943" s="227"/>
      <c r="U943" s="227"/>
      <c r="V943" s="227"/>
      <c r="W943" s="227"/>
      <c r="X943" s="227"/>
      <c r="Y943" s="227"/>
      <c r="Z943" s="227"/>
    </row>
    <row r="944" spans="7:26" ht="12.75" customHeight="1">
      <c r="G944" s="174"/>
      <c r="N944" s="192"/>
      <c r="O944" s="227"/>
      <c r="P944" s="227"/>
      <c r="Q944" s="227"/>
      <c r="R944" s="227"/>
      <c r="S944" s="227"/>
      <c r="T944" s="227"/>
      <c r="U944" s="227"/>
      <c r="V944" s="227"/>
      <c r="W944" s="227"/>
      <c r="X944" s="227"/>
      <c r="Y944" s="227"/>
      <c r="Z944" s="227"/>
    </row>
    <row r="945" spans="7:26" ht="12.75" customHeight="1">
      <c r="G945" s="174"/>
      <c r="N945" s="192"/>
      <c r="O945" s="227"/>
      <c r="P945" s="227"/>
      <c r="Q945" s="227"/>
      <c r="R945" s="227"/>
      <c r="S945" s="227"/>
      <c r="T945" s="227"/>
      <c r="U945" s="227"/>
      <c r="V945" s="227"/>
      <c r="W945" s="227"/>
      <c r="X945" s="227"/>
      <c r="Y945" s="227"/>
      <c r="Z945" s="227"/>
    </row>
    <row r="946" spans="7:26" ht="12.75" customHeight="1">
      <c r="G946" s="174"/>
      <c r="N946" s="192"/>
      <c r="O946" s="227"/>
      <c r="P946" s="227"/>
      <c r="Q946" s="227"/>
      <c r="R946" s="227"/>
      <c r="S946" s="227"/>
      <c r="T946" s="227"/>
      <c r="U946" s="227"/>
      <c r="V946" s="227"/>
      <c r="W946" s="227"/>
      <c r="X946" s="227"/>
      <c r="Y946" s="227"/>
      <c r="Z946" s="227"/>
    </row>
    <row r="947" spans="7:26" ht="12.75" customHeight="1">
      <c r="G947" s="174"/>
      <c r="N947" s="192"/>
      <c r="O947" s="227"/>
      <c r="P947" s="227"/>
      <c r="Q947" s="227"/>
      <c r="R947" s="227"/>
      <c r="S947" s="227"/>
      <c r="T947" s="227"/>
      <c r="U947" s="227"/>
      <c r="V947" s="227"/>
      <c r="W947" s="227"/>
      <c r="X947" s="227"/>
      <c r="Y947" s="227"/>
      <c r="Z947" s="227"/>
    </row>
    <row r="948" spans="7:26" ht="12.75" customHeight="1">
      <c r="G948" s="174"/>
      <c r="N948" s="192"/>
      <c r="O948" s="227"/>
      <c r="P948" s="227"/>
      <c r="Q948" s="227"/>
      <c r="R948" s="227"/>
      <c r="S948" s="227"/>
      <c r="T948" s="227"/>
      <c r="U948" s="227"/>
      <c r="V948" s="227"/>
      <c r="W948" s="227"/>
      <c r="X948" s="227"/>
      <c r="Y948" s="227"/>
      <c r="Z948" s="227"/>
    </row>
    <row r="949" spans="7:26" ht="12.75" customHeight="1">
      <c r="G949" s="174"/>
      <c r="N949" s="192"/>
      <c r="O949" s="227"/>
      <c r="P949" s="227"/>
      <c r="Q949" s="227"/>
      <c r="R949" s="227"/>
      <c r="S949" s="227"/>
      <c r="T949" s="227"/>
      <c r="U949" s="227"/>
      <c r="V949" s="227"/>
      <c r="W949" s="227"/>
      <c r="X949" s="227"/>
      <c r="Y949" s="227"/>
      <c r="Z949" s="227"/>
    </row>
    <row r="950" spans="7:26" ht="12.75" customHeight="1">
      <c r="G950" s="174"/>
      <c r="N950" s="192"/>
      <c r="O950" s="227"/>
      <c r="P950" s="227"/>
      <c r="Q950" s="227"/>
      <c r="R950" s="227"/>
      <c r="S950" s="227"/>
      <c r="T950" s="227"/>
      <c r="U950" s="227"/>
      <c r="V950" s="227"/>
      <c r="W950" s="227"/>
      <c r="X950" s="227"/>
      <c r="Y950" s="227"/>
      <c r="Z950" s="227"/>
    </row>
    <row r="951" spans="7:26" ht="12.75" customHeight="1">
      <c r="G951" s="174"/>
      <c r="N951" s="192"/>
      <c r="O951" s="227"/>
      <c r="P951" s="227"/>
      <c r="Q951" s="227"/>
      <c r="R951" s="227"/>
      <c r="S951" s="227"/>
      <c r="T951" s="227"/>
      <c r="U951" s="227"/>
      <c r="V951" s="227"/>
      <c r="W951" s="227"/>
      <c r="X951" s="227"/>
      <c r="Y951" s="227"/>
      <c r="Z951" s="227"/>
    </row>
    <row r="952" spans="7:26" ht="12.75" customHeight="1">
      <c r="G952" s="174"/>
      <c r="N952" s="192"/>
      <c r="O952" s="227"/>
      <c r="P952" s="227"/>
      <c r="Q952" s="227"/>
      <c r="R952" s="227"/>
      <c r="S952" s="227"/>
      <c r="T952" s="227"/>
      <c r="U952" s="227"/>
      <c r="V952" s="227"/>
      <c r="W952" s="227"/>
      <c r="X952" s="227"/>
      <c r="Y952" s="227"/>
      <c r="Z952" s="227"/>
    </row>
    <row r="953" spans="7:26" ht="12.75" customHeight="1">
      <c r="G953" s="174"/>
      <c r="N953" s="192"/>
      <c r="O953" s="227"/>
      <c r="P953" s="227"/>
      <c r="Q953" s="227"/>
      <c r="R953" s="227"/>
      <c r="S953" s="227"/>
      <c r="T953" s="227"/>
      <c r="U953" s="227"/>
      <c r="V953" s="227"/>
      <c r="W953" s="227"/>
      <c r="X953" s="227"/>
      <c r="Y953" s="227"/>
      <c r="Z953" s="227"/>
    </row>
    <row r="954" spans="7:26" ht="12.75" customHeight="1">
      <c r="G954" s="174"/>
      <c r="N954" s="192"/>
      <c r="O954" s="227"/>
      <c r="P954" s="227"/>
      <c r="Q954" s="227"/>
      <c r="R954" s="227"/>
      <c r="S954" s="227"/>
      <c r="T954" s="227"/>
      <c r="U954" s="227"/>
      <c r="V954" s="227"/>
      <c r="W954" s="227"/>
      <c r="X954" s="227"/>
      <c r="Y954" s="227"/>
      <c r="Z954" s="227"/>
    </row>
    <row r="955" spans="7:26" ht="12.75" customHeight="1">
      <c r="G955" s="174"/>
      <c r="N955" s="192"/>
      <c r="O955" s="227"/>
      <c r="P955" s="227"/>
      <c r="Q955" s="227"/>
      <c r="R955" s="227"/>
      <c r="S955" s="227"/>
      <c r="T955" s="227"/>
      <c r="U955" s="227"/>
      <c r="V955" s="227"/>
      <c r="W955" s="227"/>
      <c r="X955" s="227"/>
      <c r="Y955" s="227"/>
      <c r="Z955" s="227"/>
    </row>
    <row r="956" spans="7:26" ht="12.75" customHeight="1">
      <c r="G956" s="174"/>
      <c r="N956" s="192"/>
      <c r="O956" s="227"/>
      <c r="P956" s="227"/>
      <c r="Q956" s="227"/>
      <c r="R956" s="227"/>
      <c r="S956" s="227"/>
      <c r="T956" s="227"/>
      <c r="U956" s="227"/>
      <c r="V956" s="227"/>
      <c r="W956" s="227"/>
      <c r="X956" s="227"/>
      <c r="Y956" s="227"/>
      <c r="Z956" s="227"/>
    </row>
    <row r="957" spans="7:26" ht="12.75" customHeight="1">
      <c r="G957" s="174"/>
      <c r="N957" s="192"/>
      <c r="O957" s="227"/>
      <c r="P957" s="227"/>
      <c r="Q957" s="227"/>
      <c r="R957" s="227"/>
      <c r="S957" s="227"/>
      <c r="T957" s="227"/>
      <c r="U957" s="227"/>
      <c r="V957" s="227"/>
      <c r="W957" s="227"/>
      <c r="X957" s="227"/>
      <c r="Y957" s="227"/>
      <c r="Z957" s="227"/>
    </row>
    <row r="958" spans="7:26" ht="12.75" customHeight="1">
      <c r="G958" s="174"/>
      <c r="N958" s="192"/>
      <c r="O958" s="227"/>
      <c r="P958" s="227"/>
      <c r="Q958" s="227"/>
      <c r="R958" s="227"/>
      <c r="S958" s="227"/>
      <c r="T958" s="227"/>
      <c r="U958" s="227"/>
      <c r="V958" s="227"/>
      <c r="W958" s="227"/>
      <c r="X958" s="227"/>
      <c r="Y958" s="227"/>
      <c r="Z958" s="227"/>
    </row>
    <row r="959" spans="7:26" ht="12.75" customHeight="1">
      <c r="G959" s="174"/>
      <c r="N959" s="192"/>
      <c r="O959" s="227"/>
      <c r="P959" s="227"/>
      <c r="Q959" s="227"/>
      <c r="R959" s="227"/>
      <c r="S959" s="227"/>
      <c r="T959" s="227"/>
      <c r="U959" s="227"/>
      <c r="V959" s="227"/>
      <c r="W959" s="227"/>
      <c r="X959" s="227"/>
      <c r="Y959" s="227"/>
      <c r="Z959" s="227"/>
    </row>
    <row r="960" spans="7:26" ht="12.75" customHeight="1">
      <c r="G960" s="174"/>
      <c r="N960" s="192"/>
      <c r="O960" s="227"/>
      <c r="P960" s="227"/>
      <c r="Q960" s="227"/>
      <c r="R960" s="227"/>
      <c r="S960" s="227"/>
      <c r="T960" s="227"/>
      <c r="U960" s="227"/>
      <c r="V960" s="227"/>
      <c r="W960" s="227"/>
      <c r="X960" s="227"/>
      <c r="Y960" s="227"/>
      <c r="Z960" s="227"/>
    </row>
    <row r="961" spans="7:26" ht="12.75" customHeight="1">
      <c r="G961" s="174"/>
      <c r="N961" s="192"/>
      <c r="O961" s="227"/>
      <c r="P961" s="227"/>
      <c r="Q961" s="227"/>
      <c r="R961" s="227"/>
      <c r="S961" s="227"/>
      <c r="T961" s="227"/>
      <c r="U961" s="227"/>
      <c r="V961" s="227"/>
      <c r="W961" s="227"/>
      <c r="X961" s="227"/>
      <c r="Y961" s="227"/>
      <c r="Z961" s="227"/>
    </row>
    <row r="962" spans="7:26" ht="12.75" customHeight="1">
      <c r="G962" s="174"/>
      <c r="N962" s="192"/>
      <c r="O962" s="227"/>
      <c r="P962" s="227"/>
      <c r="Q962" s="227"/>
      <c r="R962" s="227"/>
      <c r="S962" s="227"/>
      <c r="T962" s="227"/>
      <c r="U962" s="227"/>
      <c r="V962" s="227"/>
      <c r="W962" s="227"/>
      <c r="X962" s="227"/>
      <c r="Y962" s="227"/>
      <c r="Z962" s="227"/>
    </row>
    <row r="963" spans="7:26" ht="12.75" customHeight="1">
      <c r="G963" s="174"/>
      <c r="N963" s="192"/>
      <c r="O963" s="227"/>
      <c r="P963" s="227"/>
      <c r="Q963" s="227"/>
      <c r="R963" s="227"/>
      <c r="S963" s="227"/>
      <c r="T963" s="227"/>
      <c r="U963" s="227"/>
      <c r="V963" s="227"/>
      <c r="W963" s="227"/>
      <c r="X963" s="227"/>
      <c r="Y963" s="227"/>
      <c r="Z963" s="227"/>
    </row>
    <row r="964" spans="7:26" ht="12.75" customHeight="1">
      <c r="G964" s="174"/>
      <c r="N964" s="192"/>
      <c r="O964" s="227"/>
      <c r="P964" s="227"/>
      <c r="Q964" s="227"/>
      <c r="R964" s="227"/>
      <c r="S964" s="227"/>
      <c r="T964" s="227"/>
      <c r="U964" s="227"/>
      <c r="V964" s="227"/>
      <c r="W964" s="227"/>
      <c r="X964" s="227"/>
      <c r="Y964" s="227"/>
      <c r="Z964" s="227"/>
    </row>
    <row r="965" spans="7:26" ht="12.75" customHeight="1">
      <c r="G965" s="174"/>
      <c r="N965" s="192"/>
      <c r="O965" s="227"/>
      <c r="P965" s="227"/>
      <c r="Q965" s="227"/>
      <c r="R965" s="227"/>
      <c r="S965" s="227"/>
      <c r="T965" s="227"/>
      <c r="U965" s="227"/>
      <c r="V965" s="227"/>
      <c r="W965" s="227"/>
      <c r="X965" s="227"/>
      <c r="Y965" s="227"/>
      <c r="Z965" s="227"/>
    </row>
    <row r="966" spans="7:26" ht="12.75" customHeight="1">
      <c r="G966" s="174"/>
      <c r="N966" s="192"/>
      <c r="O966" s="227"/>
      <c r="P966" s="227"/>
      <c r="Q966" s="227"/>
      <c r="R966" s="227"/>
      <c r="S966" s="227"/>
      <c r="T966" s="227"/>
      <c r="U966" s="227"/>
      <c r="V966" s="227"/>
      <c r="W966" s="227"/>
      <c r="X966" s="227"/>
      <c r="Y966" s="227"/>
      <c r="Z966" s="227"/>
    </row>
    <row r="967" spans="7:26" ht="12.75" customHeight="1">
      <c r="G967" s="174"/>
      <c r="N967" s="192"/>
      <c r="O967" s="227"/>
      <c r="P967" s="227"/>
      <c r="Q967" s="227"/>
      <c r="R967" s="227"/>
      <c r="S967" s="227"/>
      <c r="T967" s="227"/>
      <c r="U967" s="227"/>
      <c r="V967" s="227"/>
      <c r="W967" s="227"/>
      <c r="X967" s="227"/>
      <c r="Y967" s="227"/>
      <c r="Z967" s="227"/>
    </row>
    <row r="968" spans="7:26" ht="12.75" customHeight="1">
      <c r="G968" s="174"/>
      <c r="N968" s="192"/>
      <c r="O968" s="227"/>
      <c r="P968" s="227"/>
      <c r="Q968" s="227"/>
      <c r="R968" s="227"/>
      <c r="S968" s="227"/>
      <c r="T968" s="227"/>
      <c r="U968" s="227"/>
      <c r="V968" s="227"/>
      <c r="W968" s="227"/>
      <c r="X968" s="227"/>
      <c r="Y968" s="227"/>
      <c r="Z968" s="227"/>
    </row>
    <row r="969" spans="7:26" ht="12.75" customHeight="1">
      <c r="G969" s="174"/>
      <c r="N969" s="192"/>
      <c r="O969" s="227"/>
      <c r="P969" s="227"/>
      <c r="Q969" s="227"/>
      <c r="R969" s="227"/>
      <c r="S969" s="227"/>
      <c r="T969" s="227"/>
      <c r="U969" s="227"/>
      <c r="V969" s="227"/>
      <c r="W969" s="227"/>
      <c r="X969" s="227"/>
      <c r="Y969" s="227"/>
      <c r="Z969" s="227"/>
    </row>
    <row r="970" spans="7:26" ht="12.75" customHeight="1">
      <c r="G970" s="174"/>
      <c r="N970" s="192"/>
      <c r="O970" s="227"/>
      <c r="P970" s="227"/>
      <c r="Q970" s="227"/>
      <c r="R970" s="227"/>
      <c r="S970" s="227"/>
      <c r="T970" s="227"/>
      <c r="U970" s="227"/>
      <c r="V970" s="227"/>
      <c r="W970" s="227"/>
      <c r="X970" s="227"/>
      <c r="Y970" s="227"/>
      <c r="Z970" s="227"/>
    </row>
    <row r="971" spans="7:26" ht="12.75" customHeight="1">
      <c r="G971" s="174"/>
      <c r="N971" s="192"/>
      <c r="O971" s="227"/>
      <c r="P971" s="227"/>
      <c r="Q971" s="227"/>
      <c r="R971" s="227"/>
      <c r="S971" s="227"/>
      <c r="T971" s="227"/>
      <c r="U971" s="227"/>
      <c r="V971" s="227"/>
      <c r="W971" s="227"/>
      <c r="X971" s="227"/>
      <c r="Y971" s="227"/>
      <c r="Z971" s="227"/>
    </row>
    <row r="972" spans="7:26" ht="12.75" customHeight="1">
      <c r="G972" s="174"/>
      <c r="N972" s="192"/>
      <c r="O972" s="227"/>
      <c r="P972" s="227"/>
      <c r="Q972" s="227"/>
      <c r="R972" s="227"/>
      <c r="S972" s="227"/>
      <c r="T972" s="227"/>
      <c r="U972" s="227"/>
      <c r="V972" s="227"/>
      <c r="W972" s="227"/>
      <c r="X972" s="227"/>
      <c r="Y972" s="227"/>
      <c r="Z972" s="227"/>
    </row>
    <row r="973" spans="7:26" ht="12.75" customHeight="1">
      <c r="G973" s="174"/>
      <c r="N973" s="192"/>
      <c r="O973" s="227"/>
      <c r="P973" s="227"/>
      <c r="Q973" s="227"/>
      <c r="R973" s="227"/>
      <c r="S973" s="227"/>
      <c r="T973" s="227"/>
      <c r="U973" s="227"/>
      <c r="V973" s="227"/>
      <c r="W973" s="227"/>
      <c r="X973" s="227"/>
      <c r="Y973" s="227"/>
      <c r="Z973" s="227"/>
    </row>
    <row r="974" spans="7:26" ht="12.75" customHeight="1">
      <c r="G974" s="174"/>
      <c r="N974" s="192"/>
      <c r="O974" s="227"/>
      <c r="P974" s="227"/>
      <c r="Q974" s="227"/>
      <c r="R974" s="227"/>
      <c r="S974" s="227"/>
      <c r="T974" s="227"/>
      <c r="U974" s="227"/>
      <c r="V974" s="227"/>
      <c r="W974" s="227"/>
      <c r="X974" s="227"/>
      <c r="Y974" s="227"/>
      <c r="Z974" s="227"/>
    </row>
    <row r="975" spans="7:26" ht="12.75" customHeight="1">
      <c r="G975" s="174"/>
      <c r="N975" s="192"/>
      <c r="O975" s="227"/>
      <c r="P975" s="227"/>
      <c r="Q975" s="227"/>
      <c r="R975" s="227"/>
      <c r="S975" s="227"/>
      <c r="T975" s="227"/>
      <c r="U975" s="227"/>
      <c r="V975" s="227"/>
      <c r="W975" s="227"/>
      <c r="X975" s="227"/>
      <c r="Y975" s="227"/>
      <c r="Z975" s="227"/>
    </row>
    <row r="976" spans="7:26" ht="12.75" customHeight="1">
      <c r="G976" s="174"/>
      <c r="N976" s="192"/>
      <c r="O976" s="227"/>
      <c r="P976" s="227"/>
      <c r="Q976" s="227"/>
      <c r="R976" s="227"/>
      <c r="S976" s="227"/>
      <c r="T976" s="227"/>
      <c r="U976" s="227"/>
      <c r="V976" s="227"/>
      <c r="W976" s="227"/>
      <c r="X976" s="227"/>
      <c r="Y976" s="227"/>
      <c r="Z976" s="227"/>
    </row>
    <row r="977" spans="7:26" ht="12.75" customHeight="1">
      <c r="G977" s="174"/>
      <c r="N977" s="192"/>
      <c r="O977" s="227"/>
      <c r="P977" s="227"/>
      <c r="Q977" s="227"/>
      <c r="R977" s="227"/>
      <c r="S977" s="227"/>
      <c r="T977" s="227"/>
      <c r="U977" s="227"/>
      <c r="V977" s="227"/>
      <c r="W977" s="227"/>
      <c r="X977" s="227"/>
      <c r="Y977" s="227"/>
      <c r="Z977" s="227"/>
    </row>
    <row r="978" spans="7:26" ht="12.75" customHeight="1">
      <c r="G978" s="174"/>
      <c r="N978" s="192"/>
      <c r="O978" s="227"/>
      <c r="P978" s="227"/>
      <c r="Q978" s="227"/>
      <c r="R978" s="227"/>
      <c r="S978" s="227"/>
      <c r="T978" s="227"/>
      <c r="U978" s="227"/>
      <c r="V978" s="227"/>
      <c r="W978" s="227"/>
      <c r="X978" s="227"/>
      <c r="Y978" s="227"/>
      <c r="Z978" s="227"/>
    </row>
    <row r="979" spans="7:26" ht="12.75" customHeight="1">
      <c r="G979" s="174"/>
      <c r="N979" s="192"/>
      <c r="O979" s="227"/>
      <c r="P979" s="227"/>
      <c r="Q979" s="227"/>
      <c r="R979" s="227"/>
      <c r="S979" s="227"/>
      <c r="T979" s="227"/>
      <c r="U979" s="227"/>
      <c r="V979" s="227"/>
      <c r="W979" s="227"/>
      <c r="X979" s="227"/>
      <c r="Y979" s="227"/>
      <c r="Z979" s="227"/>
    </row>
    <row r="980" spans="7:26" ht="12.75" customHeight="1">
      <c r="G980" s="174"/>
      <c r="N980" s="192"/>
      <c r="O980" s="227"/>
      <c r="P980" s="227"/>
      <c r="Q980" s="227"/>
      <c r="R980" s="227"/>
      <c r="S980" s="227"/>
      <c r="T980" s="227"/>
      <c r="U980" s="227"/>
      <c r="V980" s="227"/>
      <c r="W980" s="227"/>
      <c r="X980" s="227"/>
      <c r="Y980" s="227"/>
      <c r="Z980" s="227"/>
    </row>
    <row r="981" spans="7:26" ht="12.75" customHeight="1">
      <c r="G981" s="174"/>
      <c r="N981" s="192"/>
      <c r="O981" s="227"/>
      <c r="P981" s="227"/>
      <c r="Q981" s="227"/>
      <c r="R981" s="227"/>
      <c r="S981" s="227"/>
      <c r="T981" s="227"/>
      <c r="U981" s="227"/>
      <c r="V981" s="227"/>
      <c r="W981" s="227"/>
      <c r="X981" s="227"/>
      <c r="Y981" s="227"/>
      <c r="Z981" s="227"/>
    </row>
    <row r="982" spans="7:26" ht="12.75" customHeight="1">
      <c r="G982" s="174"/>
      <c r="N982" s="192"/>
      <c r="O982" s="227"/>
      <c r="P982" s="227"/>
      <c r="Q982" s="227"/>
      <c r="R982" s="227"/>
      <c r="S982" s="227"/>
      <c r="T982" s="227"/>
      <c r="U982" s="227"/>
      <c r="V982" s="227"/>
      <c r="W982" s="227"/>
      <c r="X982" s="227"/>
      <c r="Y982" s="227"/>
      <c r="Z982" s="227"/>
    </row>
    <row r="983" spans="7:26" ht="12.75" customHeight="1">
      <c r="G983" s="174"/>
      <c r="N983" s="192"/>
      <c r="O983" s="227"/>
      <c r="P983" s="227"/>
      <c r="Q983" s="227"/>
      <c r="R983" s="227"/>
      <c r="S983" s="227"/>
      <c r="T983" s="227"/>
      <c r="U983" s="227"/>
      <c r="V983" s="227"/>
      <c r="W983" s="227"/>
      <c r="X983" s="227"/>
      <c r="Y983" s="227"/>
      <c r="Z983" s="227"/>
    </row>
    <row r="984" spans="7:26" ht="12.75" customHeight="1">
      <c r="G984" s="174"/>
      <c r="N984" s="192"/>
      <c r="O984" s="227"/>
      <c r="P984" s="227"/>
      <c r="Q984" s="227"/>
      <c r="R984" s="227"/>
      <c r="S984" s="227"/>
      <c r="T984" s="227"/>
      <c r="U984" s="227"/>
      <c r="V984" s="227"/>
      <c r="W984" s="227"/>
      <c r="X984" s="227"/>
      <c r="Y984" s="227"/>
      <c r="Z984" s="227"/>
    </row>
    <row r="985" spans="7:26" ht="12.75" customHeight="1">
      <c r="G985" s="174"/>
      <c r="N985" s="192"/>
      <c r="O985" s="227"/>
      <c r="P985" s="227"/>
      <c r="Q985" s="227"/>
      <c r="R985" s="227"/>
      <c r="S985" s="227"/>
      <c r="T985" s="227"/>
      <c r="U985" s="227"/>
      <c r="V985" s="227"/>
      <c r="W985" s="227"/>
      <c r="X985" s="227"/>
      <c r="Y985" s="227"/>
      <c r="Z985" s="227"/>
    </row>
    <row r="986" spans="7:26" ht="12.75" customHeight="1">
      <c r="G986" s="174"/>
      <c r="N986" s="192"/>
      <c r="O986" s="227"/>
      <c r="P986" s="227"/>
      <c r="Q986" s="227"/>
      <c r="R986" s="227"/>
      <c r="S986" s="227"/>
      <c r="T986" s="227"/>
      <c r="U986" s="227"/>
      <c r="V986" s="227"/>
      <c r="W986" s="227"/>
      <c r="X986" s="227"/>
      <c r="Y986" s="227"/>
      <c r="Z986" s="227"/>
    </row>
    <row r="987" spans="7:26" ht="12.75" customHeight="1">
      <c r="G987" s="174"/>
      <c r="N987" s="192"/>
      <c r="O987" s="227"/>
      <c r="P987" s="227"/>
      <c r="Q987" s="227"/>
      <c r="R987" s="227"/>
      <c r="S987" s="227"/>
      <c r="T987" s="227"/>
      <c r="U987" s="227"/>
      <c r="V987" s="227"/>
      <c r="W987" s="227"/>
      <c r="X987" s="227"/>
      <c r="Y987" s="227"/>
      <c r="Z987" s="227"/>
    </row>
    <row r="988" spans="7:26" ht="12.75" customHeight="1">
      <c r="G988" s="174"/>
      <c r="N988" s="192"/>
      <c r="O988" s="227"/>
      <c r="P988" s="227"/>
      <c r="Q988" s="227"/>
      <c r="R988" s="227"/>
      <c r="S988" s="227"/>
      <c r="T988" s="227"/>
      <c r="U988" s="227"/>
      <c r="V988" s="227"/>
      <c r="W988" s="227"/>
      <c r="X988" s="227"/>
      <c r="Y988" s="227"/>
      <c r="Z988" s="227"/>
    </row>
    <row r="989" spans="7:26" ht="12.75" customHeight="1">
      <c r="G989" s="174"/>
      <c r="N989" s="192"/>
      <c r="O989" s="227"/>
      <c r="P989" s="227"/>
      <c r="Q989" s="227"/>
      <c r="R989" s="227"/>
      <c r="S989" s="227"/>
      <c r="T989" s="227"/>
      <c r="U989" s="227"/>
      <c r="V989" s="227"/>
      <c r="W989" s="227"/>
      <c r="X989" s="227"/>
      <c r="Y989" s="227"/>
      <c r="Z989" s="227"/>
    </row>
    <row r="990" spans="7:26" ht="12.75" customHeight="1">
      <c r="G990" s="174"/>
      <c r="N990" s="192"/>
      <c r="O990" s="227"/>
      <c r="P990" s="227"/>
      <c r="Q990" s="227"/>
      <c r="R990" s="227"/>
      <c r="S990" s="227"/>
      <c r="T990" s="227"/>
      <c r="U990" s="227"/>
      <c r="V990" s="227"/>
      <c r="W990" s="227"/>
      <c r="X990" s="227"/>
      <c r="Y990" s="227"/>
      <c r="Z990" s="227"/>
    </row>
    <row r="991" spans="7:26" ht="12.75" customHeight="1">
      <c r="G991" s="174"/>
      <c r="N991" s="192"/>
      <c r="O991" s="227"/>
      <c r="P991" s="227"/>
      <c r="Q991" s="227"/>
      <c r="R991" s="227"/>
      <c r="S991" s="227"/>
      <c r="T991" s="227"/>
      <c r="U991" s="227"/>
      <c r="V991" s="227"/>
      <c r="W991" s="227"/>
      <c r="X991" s="227"/>
      <c r="Y991" s="227"/>
      <c r="Z991" s="227"/>
    </row>
    <row r="992" spans="7:26" ht="12.75" customHeight="1">
      <c r="G992" s="174"/>
      <c r="N992" s="192"/>
      <c r="O992" s="227"/>
      <c r="P992" s="227"/>
      <c r="Q992" s="227"/>
      <c r="R992" s="227"/>
      <c r="S992" s="227"/>
      <c r="T992" s="227"/>
      <c r="U992" s="227"/>
      <c r="V992" s="227"/>
      <c r="W992" s="227"/>
      <c r="X992" s="227"/>
      <c r="Y992" s="227"/>
      <c r="Z992" s="227"/>
    </row>
    <row r="993" spans="7:26" ht="12.75" customHeight="1">
      <c r="G993" s="174"/>
      <c r="N993" s="192"/>
      <c r="O993" s="227"/>
      <c r="P993" s="227"/>
      <c r="Q993" s="227"/>
      <c r="R993" s="227"/>
      <c r="S993" s="227"/>
      <c r="T993" s="227"/>
      <c r="U993" s="227"/>
      <c r="V993" s="227"/>
      <c r="W993" s="227"/>
      <c r="X993" s="227"/>
      <c r="Y993" s="227"/>
      <c r="Z993" s="227"/>
    </row>
    <row r="994" spans="7:26" ht="12.75" customHeight="1">
      <c r="G994" s="174"/>
      <c r="N994" s="192"/>
      <c r="O994" s="227"/>
      <c r="P994" s="227"/>
      <c r="Q994" s="227"/>
      <c r="R994" s="227"/>
      <c r="S994" s="227"/>
      <c r="T994" s="227"/>
      <c r="U994" s="227"/>
      <c r="V994" s="227"/>
      <c r="W994" s="227"/>
      <c r="X994" s="227"/>
      <c r="Y994" s="227"/>
      <c r="Z994" s="227"/>
    </row>
    <row r="995" spans="7:26" ht="12.75" customHeight="1">
      <c r="G995" s="174"/>
      <c r="N995" s="192"/>
      <c r="O995" s="227"/>
      <c r="P995" s="227"/>
      <c r="Q995" s="227"/>
      <c r="R995" s="227"/>
      <c r="S995" s="227"/>
      <c r="T995" s="227"/>
      <c r="U995" s="227"/>
      <c r="V995" s="227"/>
      <c r="W995" s="227"/>
      <c r="X995" s="227"/>
      <c r="Y995" s="227"/>
      <c r="Z995" s="227"/>
    </row>
    <row r="996" spans="7:26" ht="12.75" customHeight="1">
      <c r="G996" s="174"/>
      <c r="N996" s="192"/>
      <c r="O996" s="227"/>
      <c r="P996" s="227"/>
      <c r="Q996" s="227"/>
      <c r="R996" s="227"/>
      <c r="S996" s="227"/>
      <c r="T996" s="227"/>
      <c r="U996" s="227"/>
      <c r="V996" s="227"/>
      <c r="W996" s="227"/>
      <c r="X996" s="227"/>
      <c r="Y996" s="227"/>
      <c r="Z996" s="227"/>
    </row>
    <row r="997" spans="7:26" ht="12.75" customHeight="1">
      <c r="G997" s="174"/>
      <c r="N997" s="192"/>
      <c r="O997" s="227"/>
      <c r="P997" s="227"/>
      <c r="Q997" s="227"/>
      <c r="R997" s="227"/>
      <c r="S997" s="227"/>
      <c r="T997" s="227"/>
      <c r="U997" s="227"/>
      <c r="V997" s="227"/>
      <c r="W997" s="227"/>
      <c r="X997" s="227"/>
      <c r="Y997" s="227"/>
      <c r="Z997" s="227"/>
    </row>
    <row r="998" spans="7:26" ht="12.75" customHeight="1">
      <c r="G998" s="174"/>
      <c r="N998" s="192"/>
      <c r="O998" s="227"/>
      <c r="P998" s="227"/>
      <c r="Q998" s="227"/>
      <c r="R998" s="227"/>
      <c r="S998" s="227"/>
      <c r="T998" s="227"/>
      <c r="U998" s="227"/>
      <c r="V998" s="227"/>
      <c r="W998" s="227"/>
      <c r="X998" s="227"/>
      <c r="Y998" s="227"/>
      <c r="Z998" s="227"/>
    </row>
    <row r="999" spans="7:26" ht="12.75" customHeight="1">
      <c r="G999" s="174"/>
      <c r="N999" s="192"/>
      <c r="O999" s="227"/>
      <c r="P999" s="227"/>
      <c r="Q999" s="227"/>
      <c r="R999" s="227"/>
      <c r="S999" s="227"/>
      <c r="T999" s="227"/>
      <c r="U999" s="227"/>
      <c r="V999" s="227"/>
      <c r="W999" s="227"/>
      <c r="X999" s="227"/>
      <c r="Y999" s="227"/>
      <c r="Z999" s="227"/>
    </row>
    <row r="1000" spans="7:26" ht="12.75" customHeight="1">
      <c r="G1000" s="174"/>
      <c r="N1000" s="192"/>
      <c r="O1000" s="227"/>
      <c r="P1000" s="227"/>
      <c r="Q1000" s="227"/>
      <c r="R1000" s="227"/>
      <c r="S1000" s="227"/>
      <c r="T1000" s="227"/>
      <c r="U1000" s="227"/>
      <c r="V1000" s="227"/>
      <c r="W1000" s="227"/>
      <c r="X1000" s="227"/>
      <c r="Y1000" s="227"/>
      <c r="Z1000" s="227"/>
    </row>
    <row r="1001" spans="7:26" ht="12.75" customHeight="1">
      <c r="G1001" s="174"/>
      <c r="N1001" s="192"/>
      <c r="O1001" s="227"/>
      <c r="P1001" s="227"/>
      <c r="Q1001" s="227"/>
      <c r="R1001" s="227"/>
      <c r="S1001" s="227"/>
      <c r="T1001" s="227"/>
      <c r="U1001" s="227"/>
      <c r="V1001" s="227"/>
      <c r="W1001" s="227"/>
      <c r="X1001" s="227"/>
      <c r="Y1001" s="227"/>
      <c r="Z1001" s="227"/>
    </row>
    <row r="1002" spans="7:26" ht="12.75" customHeight="1">
      <c r="G1002" s="174"/>
      <c r="N1002" s="192"/>
      <c r="O1002" s="227"/>
      <c r="P1002" s="227"/>
      <c r="Q1002" s="227"/>
      <c r="R1002" s="227"/>
      <c r="S1002" s="227"/>
      <c r="T1002" s="227"/>
      <c r="U1002" s="227"/>
      <c r="V1002" s="227"/>
      <c r="W1002" s="227"/>
      <c r="X1002" s="227"/>
      <c r="Y1002" s="227"/>
      <c r="Z1002" s="227"/>
    </row>
    <row r="1003" spans="7:26" ht="12.75" customHeight="1">
      <c r="G1003" s="174"/>
      <c r="N1003" s="192"/>
      <c r="O1003" s="227"/>
      <c r="P1003" s="227"/>
      <c r="Q1003" s="227"/>
      <c r="R1003" s="227"/>
      <c r="S1003" s="227"/>
      <c r="T1003" s="227"/>
      <c r="U1003" s="227"/>
      <c r="V1003" s="227"/>
      <c r="W1003" s="227"/>
      <c r="X1003" s="227"/>
      <c r="Y1003" s="227"/>
      <c r="Z1003" s="227"/>
    </row>
    <row r="1004" spans="7:26" ht="12.75" customHeight="1">
      <c r="G1004" s="174"/>
      <c r="N1004" s="192"/>
      <c r="O1004" s="227"/>
      <c r="P1004" s="227"/>
      <c r="Q1004" s="227"/>
      <c r="R1004" s="227"/>
      <c r="S1004" s="227"/>
      <c r="T1004" s="227"/>
      <c r="U1004" s="227"/>
      <c r="V1004" s="227"/>
      <c r="W1004" s="227"/>
      <c r="X1004" s="227"/>
      <c r="Y1004" s="227"/>
      <c r="Z1004" s="227"/>
    </row>
    <row r="1005" spans="7:26" ht="12.75" customHeight="1">
      <c r="G1005" s="174"/>
      <c r="N1005" s="192"/>
      <c r="O1005" s="227"/>
      <c r="P1005" s="227"/>
      <c r="Q1005" s="227"/>
      <c r="R1005" s="227"/>
      <c r="S1005" s="227"/>
      <c r="T1005" s="227"/>
      <c r="U1005" s="227"/>
      <c r="V1005" s="227"/>
      <c r="W1005" s="227"/>
      <c r="X1005" s="227"/>
      <c r="Y1005" s="227"/>
      <c r="Z1005" s="227"/>
    </row>
    <row r="1006" spans="7:26" ht="12.75" customHeight="1">
      <c r="G1006" s="174"/>
      <c r="N1006" s="192"/>
      <c r="O1006" s="227"/>
      <c r="P1006" s="227"/>
      <c r="Q1006" s="227"/>
      <c r="R1006" s="227"/>
      <c r="S1006" s="227"/>
      <c r="T1006" s="227"/>
      <c r="U1006" s="227"/>
      <c r="V1006" s="227"/>
      <c r="W1006" s="227"/>
      <c r="X1006" s="227"/>
      <c r="Y1006" s="227"/>
      <c r="Z1006" s="227"/>
    </row>
    <row r="1007" spans="7:26" ht="12.75" customHeight="1">
      <c r="G1007" s="174"/>
      <c r="N1007" s="192"/>
      <c r="O1007" s="227"/>
      <c r="P1007" s="227"/>
      <c r="Q1007" s="227"/>
      <c r="R1007" s="227"/>
      <c r="S1007" s="227"/>
      <c r="T1007" s="227"/>
      <c r="U1007" s="227"/>
      <c r="V1007" s="227"/>
      <c r="W1007" s="227"/>
      <c r="X1007" s="227"/>
      <c r="Y1007" s="227"/>
      <c r="Z1007" s="227"/>
    </row>
    <row r="1008" spans="7:26" ht="12.75" customHeight="1">
      <c r="G1008" s="174"/>
      <c r="N1008" s="192"/>
      <c r="O1008" s="227"/>
      <c r="P1008" s="227"/>
      <c r="Q1008" s="227"/>
      <c r="R1008" s="227"/>
      <c r="S1008" s="227"/>
      <c r="T1008" s="227"/>
      <c r="U1008" s="227"/>
      <c r="V1008" s="227"/>
      <c r="W1008" s="227"/>
      <c r="X1008" s="227"/>
      <c r="Y1008" s="227"/>
      <c r="Z1008" s="227"/>
    </row>
    <row r="1009" spans="7:26" ht="12.75" customHeight="1">
      <c r="G1009" s="174"/>
      <c r="N1009" s="192"/>
      <c r="O1009" s="227"/>
      <c r="P1009" s="227"/>
      <c r="Q1009" s="227"/>
      <c r="R1009" s="227"/>
      <c r="S1009" s="227"/>
      <c r="T1009" s="227"/>
      <c r="U1009" s="227"/>
      <c r="V1009" s="227"/>
      <c r="W1009" s="227"/>
      <c r="X1009" s="227"/>
      <c r="Y1009" s="227"/>
      <c r="Z1009" s="227"/>
    </row>
    <row r="1010" spans="7:26" ht="12.75" customHeight="1">
      <c r="G1010" s="174"/>
      <c r="N1010" s="192"/>
      <c r="O1010" s="227"/>
      <c r="P1010" s="227"/>
      <c r="Q1010" s="227"/>
      <c r="R1010" s="227"/>
      <c r="S1010" s="227"/>
      <c r="T1010" s="227"/>
      <c r="U1010" s="227"/>
      <c r="V1010" s="227"/>
      <c r="W1010" s="227"/>
      <c r="X1010" s="227"/>
      <c r="Y1010" s="227"/>
      <c r="Z1010" s="227"/>
    </row>
    <row r="1011" spans="7:26" ht="12.75" customHeight="1">
      <c r="G1011" s="174"/>
      <c r="N1011" s="192"/>
      <c r="O1011" s="227"/>
      <c r="P1011" s="227"/>
      <c r="Q1011" s="227"/>
      <c r="R1011" s="227"/>
      <c r="S1011" s="227"/>
      <c r="T1011" s="227"/>
      <c r="U1011" s="227"/>
      <c r="V1011" s="227"/>
      <c r="W1011" s="227"/>
      <c r="X1011" s="227"/>
      <c r="Y1011" s="227"/>
      <c r="Z1011" s="227"/>
    </row>
    <row r="1012" spans="7:26" ht="12.75" customHeight="1">
      <c r="G1012" s="174"/>
      <c r="N1012" s="192"/>
      <c r="O1012" s="227"/>
      <c r="P1012" s="227"/>
      <c r="Q1012" s="227"/>
      <c r="R1012" s="227"/>
      <c r="S1012" s="227"/>
      <c r="T1012" s="227"/>
      <c r="U1012" s="227"/>
      <c r="V1012" s="227"/>
      <c r="W1012" s="227"/>
      <c r="X1012" s="227"/>
      <c r="Y1012" s="227"/>
      <c r="Z1012" s="227"/>
    </row>
    <row r="1013" spans="7:26" ht="12.75" customHeight="1">
      <c r="G1013" s="174"/>
      <c r="N1013" s="192"/>
      <c r="O1013" s="227"/>
      <c r="P1013" s="227"/>
      <c r="Q1013" s="227"/>
      <c r="R1013" s="227"/>
      <c r="S1013" s="227"/>
      <c r="T1013" s="227"/>
      <c r="U1013" s="227"/>
      <c r="V1013" s="227"/>
      <c r="W1013" s="227"/>
      <c r="X1013" s="227"/>
      <c r="Y1013" s="227"/>
      <c r="Z1013" s="227"/>
    </row>
    <row r="1014" spans="7:26" ht="12.75" customHeight="1">
      <c r="G1014" s="174"/>
      <c r="N1014" s="192"/>
      <c r="O1014" s="227"/>
      <c r="P1014" s="227"/>
      <c r="Q1014" s="227"/>
      <c r="R1014" s="227"/>
      <c r="S1014" s="227"/>
      <c r="T1014" s="227"/>
      <c r="U1014" s="227"/>
      <c r="V1014" s="227"/>
      <c r="W1014" s="227"/>
      <c r="X1014" s="227"/>
      <c r="Y1014" s="227"/>
      <c r="Z1014" s="227"/>
    </row>
    <row r="1015" spans="7:26" ht="15.75" customHeight="1">
      <c r="N1015" s="192"/>
    </row>
    <row r="1016" spans="7:26" ht="15.75" customHeight="1">
      <c r="N1016" s="192"/>
    </row>
  </sheetData>
  <mergeCells count="70">
    <mergeCell ref="A90:E90"/>
    <mergeCell ref="H16:I16"/>
    <mergeCell ref="K16:M16"/>
    <mergeCell ref="A25:B25"/>
    <mergeCell ref="A83:E83"/>
    <mergeCell ref="A84:E84"/>
    <mergeCell ref="A85:E85"/>
    <mergeCell ref="A87:E87"/>
    <mergeCell ref="A88:E88"/>
    <mergeCell ref="A89:E89"/>
    <mergeCell ref="A77:E77"/>
    <mergeCell ref="A78:E78"/>
    <mergeCell ref="A79:E79"/>
    <mergeCell ref="A80:E80"/>
    <mergeCell ref="A81:E81"/>
    <mergeCell ref="A82:E82"/>
    <mergeCell ref="A76:E76"/>
    <mergeCell ref="A65:E65"/>
    <mergeCell ref="A66:E66"/>
    <mergeCell ref="A67:E67"/>
    <mergeCell ref="A68:E68"/>
    <mergeCell ref="A69:E69"/>
    <mergeCell ref="A70:E70"/>
    <mergeCell ref="A71:E71"/>
    <mergeCell ref="A72:E72"/>
    <mergeCell ref="A64:E64"/>
    <mergeCell ref="A47:E47"/>
    <mergeCell ref="A48:E48"/>
    <mergeCell ref="A49:E49"/>
    <mergeCell ref="A50:E50"/>
    <mergeCell ref="A53:E53"/>
    <mergeCell ref="A54:E54"/>
    <mergeCell ref="A55:E55"/>
    <mergeCell ref="A56:E56"/>
    <mergeCell ref="A57:E57"/>
    <mergeCell ref="A59:E59"/>
    <mergeCell ref="A63:E63"/>
    <mergeCell ref="A46:E46"/>
    <mergeCell ref="A35:E35"/>
    <mergeCell ref="A36:E36"/>
    <mergeCell ref="A37:E37"/>
    <mergeCell ref="A38:E38"/>
    <mergeCell ref="A39:E39"/>
    <mergeCell ref="A40:E40"/>
    <mergeCell ref="A41:E41"/>
    <mergeCell ref="A42:E42"/>
    <mergeCell ref="A43:E43"/>
    <mergeCell ref="A44:E44"/>
    <mergeCell ref="A45:E45"/>
    <mergeCell ref="B19:C19"/>
    <mergeCell ref="E19:F19"/>
    <mergeCell ref="A26:E26"/>
    <mergeCell ref="A27:E27"/>
    <mergeCell ref="A28:E28"/>
    <mergeCell ref="A29:E29"/>
    <mergeCell ref="A86:E86"/>
    <mergeCell ref="A52:E52"/>
    <mergeCell ref="A58:E58"/>
    <mergeCell ref="A60:E60"/>
    <mergeCell ref="A61:E61"/>
    <mergeCell ref="A62:E62"/>
    <mergeCell ref="A73:E73"/>
    <mergeCell ref="A74:E74"/>
    <mergeCell ref="A75:E75"/>
    <mergeCell ref="A51:E51"/>
    <mergeCell ref="A30:E30"/>
    <mergeCell ref="A31:E31"/>
    <mergeCell ref="A32:E32"/>
    <mergeCell ref="A33:E33"/>
    <mergeCell ref="A34:E34"/>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DECB-F9AD-47A3-B715-19474D27BD66}">
  <dimension ref="A8:AH1013"/>
  <sheetViews>
    <sheetView workbookViewId="0"/>
  </sheetViews>
  <sheetFormatPr defaultColWidth="12.6640625" defaultRowHeight="15.75" customHeight="1"/>
  <cols>
    <col min="1" max="1" width="2.77734375" style="472" customWidth="1"/>
    <col min="2" max="2" width="28.33203125" style="472" customWidth="1"/>
    <col min="3" max="3" width="5" style="472" customWidth="1"/>
    <col min="4" max="14" width="11.109375" style="472" customWidth="1"/>
    <col min="15" max="15" width="2.109375" style="472" customWidth="1"/>
    <col min="16" max="16" width="33.88671875" style="472" hidden="1" customWidth="1"/>
    <col min="17" max="17" width="5.6640625" style="472" hidden="1" customWidth="1"/>
    <col min="18" max="18" width="1.44140625" style="472" hidden="1" customWidth="1"/>
    <col min="19" max="19" width="26.6640625" style="472" hidden="1" customWidth="1"/>
    <col min="20" max="20" width="7.77734375" style="472" hidden="1" customWidth="1"/>
    <col min="21" max="27" width="14.88671875" style="472" hidden="1" customWidth="1"/>
    <col min="28" max="31" width="14.88671875" style="473" hidden="1" customWidth="1"/>
    <col min="32" max="32" width="3.44140625" style="473" hidden="1" customWidth="1"/>
    <col min="33" max="33" width="38.88671875" style="473" hidden="1" customWidth="1"/>
    <col min="34" max="34" width="12.6640625" style="473" hidden="1" customWidth="1"/>
    <col min="35" max="16384" width="12.6640625" style="473"/>
  </cols>
  <sheetData>
    <row r="8" spans="1:26" ht="15.75" customHeight="1">
      <c r="A8" s="472" t="s">
        <v>976</v>
      </c>
    </row>
    <row r="9" spans="1:26" ht="15.75" customHeight="1">
      <c r="A9" s="472" t="s">
        <v>978</v>
      </c>
    </row>
    <row r="10" spans="1:26" ht="15.75" customHeight="1">
      <c r="A10" s="472" t="s">
        <v>979</v>
      </c>
    </row>
    <row r="11" spans="1:26" ht="15.75" customHeight="1">
      <c r="A11" s="472" t="s">
        <v>980</v>
      </c>
    </row>
    <row r="12" spans="1:26" ht="15.75" customHeight="1">
      <c r="A12" s="472" t="s">
        <v>981</v>
      </c>
      <c r="J12" s="501" t="s">
        <v>977</v>
      </c>
    </row>
    <row r="14" spans="1:26" ht="15.75" customHeight="1">
      <c r="A14" s="474" t="s">
        <v>982</v>
      </c>
      <c r="B14" s="475"/>
      <c r="C14" s="476"/>
    </row>
    <row r="16" spans="1:26" ht="15" customHeight="1">
      <c r="A16" s="477"/>
      <c r="B16" s="477"/>
      <c r="C16" s="477"/>
      <c r="D16" s="477"/>
      <c r="E16" s="477"/>
      <c r="F16" s="477"/>
      <c r="G16" s="477"/>
      <c r="H16" s="477"/>
      <c r="I16" s="477"/>
      <c r="J16" s="477"/>
      <c r="K16" s="477"/>
      <c r="L16" s="477"/>
      <c r="M16" s="477"/>
      <c r="N16" s="477"/>
      <c r="O16" s="477"/>
      <c r="P16" s="477"/>
      <c r="Q16" s="477"/>
      <c r="R16" s="477"/>
      <c r="S16" s="478"/>
      <c r="T16" s="478"/>
      <c r="U16" s="478"/>
      <c r="V16" s="478"/>
      <c r="W16" s="478"/>
      <c r="X16" s="478"/>
      <c r="Y16" s="478"/>
      <c r="Z16" s="478"/>
    </row>
    <row r="17" spans="1:34" ht="16.2" customHeight="1">
      <c r="A17" s="479" t="s">
        <v>918</v>
      </c>
      <c r="B17" s="479"/>
      <c r="C17" s="479"/>
      <c r="D17" s="479"/>
      <c r="E17" s="479"/>
      <c r="F17" s="479"/>
      <c r="G17" s="479"/>
      <c r="H17" s="479"/>
      <c r="I17" s="479"/>
      <c r="J17" s="479"/>
      <c r="K17" s="479"/>
      <c r="L17" s="479"/>
      <c r="M17" s="479"/>
      <c r="N17" s="479"/>
      <c r="O17" s="480"/>
      <c r="P17" s="480"/>
      <c r="Q17" s="480"/>
      <c r="R17" s="481"/>
      <c r="S17" s="481"/>
      <c r="T17" s="481"/>
      <c r="U17" s="481"/>
      <c r="V17" s="481"/>
      <c r="W17" s="481"/>
      <c r="X17" s="481"/>
      <c r="Y17" s="481"/>
      <c r="AA17" s="473"/>
    </row>
    <row r="18" spans="1:34" ht="22.5" customHeight="1">
      <c r="A18" s="477"/>
      <c r="B18" s="477"/>
      <c r="C18" s="477"/>
      <c r="D18" s="482"/>
      <c r="E18" s="482"/>
      <c r="F18" s="482"/>
      <c r="G18" s="482"/>
      <c r="H18" s="482"/>
      <c r="I18" s="482"/>
      <c r="J18" s="482"/>
      <c r="K18" s="482"/>
      <c r="L18" s="482"/>
      <c r="M18" s="482"/>
      <c r="N18" s="482"/>
      <c r="O18" s="477"/>
      <c r="P18" s="477"/>
      <c r="Q18" s="477"/>
      <c r="R18" s="477"/>
      <c r="S18" s="483"/>
      <c r="T18" s="483"/>
      <c r="U18" s="483"/>
      <c r="V18" s="483"/>
      <c r="W18" s="483"/>
      <c r="X18" s="483"/>
      <c r="Y18" s="483"/>
      <c r="Z18" s="483"/>
    </row>
    <row r="19" spans="1:34" ht="22.5" customHeight="1">
      <c r="A19" s="477"/>
      <c r="B19" s="499" t="s">
        <v>920</v>
      </c>
      <c r="C19" s="500"/>
      <c r="D19" s="500"/>
      <c r="E19" s="500"/>
      <c r="F19" s="500"/>
      <c r="G19" s="500"/>
      <c r="H19" s="500"/>
      <c r="I19" s="500"/>
      <c r="J19" s="500"/>
      <c r="K19" s="500"/>
      <c r="L19" s="500"/>
      <c r="M19" s="500"/>
      <c r="N19" s="500"/>
      <c r="O19" s="477"/>
      <c r="P19" s="477"/>
      <c r="Q19" s="477"/>
      <c r="R19" s="477"/>
      <c r="S19" s="499" t="s">
        <v>919</v>
      </c>
      <c r="T19" s="500"/>
      <c r="U19" s="500"/>
      <c r="V19" s="500"/>
      <c r="W19" s="500"/>
      <c r="X19" s="500"/>
      <c r="Y19" s="500"/>
      <c r="Z19" s="500"/>
      <c r="AA19" s="500"/>
      <c r="AB19" s="500"/>
      <c r="AC19" s="500"/>
      <c r="AD19" s="500"/>
      <c r="AE19" s="500"/>
      <c r="AF19" s="477"/>
      <c r="AG19" s="477"/>
      <c r="AH19" s="477"/>
    </row>
    <row r="20" spans="1:34" ht="22.5" customHeight="1">
      <c r="A20" s="477"/>
      <c r="B20" s="484"/>
      <c r="C20" s="471"/>
      <c r="D20" s="485" t="s">
        <v>255</v>
      </c>
      <c r="E20" s="485" t="s">
        <v>256</v>
      </c>
      <c r="F20" s="485" t="s">
        <v>257</v>
      </c>
      <c r="G20" s="485" t="s">
        <v>702</v>
      </c>
      <c r="H20" s="485" t="s">
        <v>703</v>
      </c>
      <c r="I20" s="485" t="s">
        <v>704</v>
      </c>
      <c r="J20" s="485" t="s">
        <v>705</v>
      </c>
      <c r="K20" s="485" t="s">
        <v>706</v>
      </c>
      <c r="L20" s="485" t="s">
        <v>707</v>
      </c>
      <c r="M20" s="485" t="s">
        <v>708</v>
      </c>
      <c r="N20" s="485" t="s">
        <v>822</v>
      </c>
      <c r="O20" s="477"/>
      <c r="P20" s="478"/>
      <c r="Q20" s="478"/>
      <c r="R20" s="477"/>
      <c r="S20" s="484"/>
      <c r="T20" s="471"/>
      <c r="U20" s="485" t="s">
        <v>255</v>
      </c>
      <c r="V20" s="485" t="s">
        <v>256</v>
      </c>
      <c r="W20" s="485" t="s">
        <v>257</v>
      </c>
      <c r="X20" s="485" t="s">
        <v>702</v>
      </c>
      <c r="Y20" s="485" t="s">
        <v>703</v>
      </c>
      <c r="Z20" s="485" t="s">
        <v>704</v>
      </c>
      <c r="AA20" s="485" t="s">
        <v>705</v>
      </c>
      <c r="AB20" s="485" t="s">
        <v>706</v>
      </c>
      <c r="AC20" s="485" t="s">
        <v>707</v>
      </c>
      <c r="AD20" s="485" t="s">
        <v>708</v>
      </c>
      <c r="AE20" s="485" t="s">
        <v>822</v>
      </c>
      <c r="AF20" s="477"/>
      <c r="AG20" s="478"/>
      <c r="AH20" s="478"/>
    </row>
    <row r="21" spans="1:34" ht="22.5" customHeight="1">
      <c r="A21" s="477"/>
      <c r="B21" s="477" t="s">
        <v>515</v>
      </c>
      <c r="C21" s="477"/>
      <c r="D21" s="486">
        <f>Q22*(1+D22)</f>
        <v>200</v>
      </c>
      <c r="E21" s="486">
        <f t="shared" ref="E21:M21" si="0">+D21*(1+$Q24)</f>
        <v>208</v>
      </c>
      <c r="F21" s="486">
        <f t="shared" si="0"/>
        <v>216.32</v>
      </c>
      <c r="G21" s="486">
        <f t="shared" si="0"/>
        <v>224.97280000000001</v>
      </c>
      <c r="H21" s="486">
        <f t="shared" si="0"/>
        <v>233.97171200000003</v>
      </c>
      <c r="I21" s="486">
        <f t="shared" si="0"/>
        <v>243.33058048000004</v>
      </c>
      <c r="J21" s="486">
        <f t="shared" si="0"/>
        <v>253.06380369920004</v>
      </c>
      <c r="K21" s="486">
        <f t="shared" si="0"/>
        <v>263.18635584716804</v>
      </c>
      <c r="L21" s="486">
        <f t="shared" si="0"/>
        <v>273.71381008105476</v>
      </c>
      <c r="M21" s="486">
        <f t="shared" si="0"/>
        <v>284.66236248429698</v>
      </c>
      <c r="N21" s="486">
        <f>+M21*(1+$Q27)</f>
        <v>290.35560973398293</v>
      </c>
      <c r="O21" s="477"/>
      <c r="P21" s="480" t="s">
        <v>848</v>
      </c>
      <c r="Q21" s="477"/>
      <c r="R21" s="477"/>
      <c r="S21" s="477" t="s">
        <v>515</v>
      </c>
      <c r="T21" s="477"/>
      <c r="U21" s="486">
        <f>AH22*(1+U22)</f>
        <v>208</v>
      </c>
      <c r="V21" s="486">
        <f t="shared" ref="V21:AD21" si="1">+U21*(1+$Q24)</f>
        <v>216.32</v>
      </c>
      <c r="W21" s="486">
        <f t="shared" si="1"/>
        <v>224.97280000000001</v>
      </c>
      <c r="X21" s="486">
        <f t="shared" si="1"/>
        <v>233.97171200000003</v>
      </c>
      <c r="Y21" s="486">
        <f t="shared" si="1"/>
        <v>243.33058048000004</v>
      </c>
      <c r="Z21" s="486">
        <f t="shared" si="1"/>
        <v>253.06380369920004</v>
      </c>
      <c r="AA21" s="486">
        <f t="shared" si="1"/>
        <v>263.18635584716804</v>
      </c>
      <c r="AB21" s="486">
        <f t="shared" si="1"/>
        <v>273.71381008105476</v>
      </c>
      <c r="AC21" s="486">
        <f t="shared" si="1"/>
        <v>284.66236248429698</v>
      </c>
      <c r="AD21" s="486">
        <f t="shared" si="1"/>
        <v>296.04885698366888</v>
      </c>
      <c r="AE21" s="486">
        <f>+AD21*(1+$Q27)</f>
        <v>301.96983412334225</v>
      </c>
      <c r="AF21" s="477"/>
      <c r="AG21" s="480" t="s">
        <v>848</v>
      </c>
      <c r="AH21" s="477"/>
    </row>
    <row r="22" spans="1:34" ht="22.5" customHeight="1">
      <c r="A22" s="477"/>
      <c r="B22" s="487" t="s">
        <v>823</v>
      </c>
      <c r="C22" s="477"/>
      <c r="D22" s="488"/>
      <c r="E22" s="488"/>
      <c r="F22" s="488"/>
      <c r="G22" s="488"/>
      <c r="H22" s="488"/>
      <c r="I22" s="488"/>
      <c r="J22" s="488"/>
      <c r="K22" s="488"/>
      <c r="L22" s="488"/>
      <c r="M22" s="488"/>
      <c r="N22" s="488"/>
      <c r="O22" s="477"/>
      <c r="P22" s="477" t="s">
        <v>824</v>
      </c>
      <c r="Q22" s="489">
        <v>200</v>
      </c>
      <c r="R22" s="477"/>
      <c r="S22" s="487" t="s">
        <v>823</v>
      </c>
      <c r="T22" s="477"/>
      <c r="U22" s="488">
        <f>+AH24</f>
        <v>0.04</v>
      </c>
      <c r="V22" s="488">
        <f t="shared" ref="V22" si="2">V21/U21-1</f>
        <v>4.0000000000000036E-2</v>
      </c>
      <c r="W22" s="488">
        <f t="shared" ref="W22" si="3">W21/V21-1</f>
        <v>4.0000000000000036E-2</v>
      </c>
      <c r="X22" s="488">
        <f t="shared" ref="X22" si="4">X21/W21-1</f>
        <v>4.0000000000000036E-2</v>
      </c>
      <c r="Y22" s="488">
        <f t="shared" ref="Y22" si="5">Y21/X21-1</f>
        <v>4.0000000000000036E-2</v>
      </c>
      <c r="Z22" s="488">
        <f t="shared" ref="Z22" si="6">Z21/Y21-1</f>
        <v>4.0000000000000036E-2</v>
      </c>
      <c r="AA22" s="488">
        <f t="shared" ref="AA22" si="7">AA21/Z21-1</f>
        <v>4.0000000000000036E-2</v>
      </c>
      <c r="AB22" s="488">
        <f t="shared" ref="AB22" si="8">AB21/AA21-1</f>
        <v>4.0000000000000036E-2</v>
      </c>
      <c r="AC22" s="488">
        <f t="shared" ref="AC22" si="9">AC21/AB21-1</f>
        <v>4.0000000000000036E-2</v>
      </c>
      <c r="AD22" s="488">
        <f t="shared" ref="AD22" si="10">AD21/AC21-1</f>
        <v>4.0000000000000036E-2</v>
      </c>
      <c r="AE22" s="488">
        <f t="shared" ref="AE22" si="11">AE21/AD21-1</f>
        <v>2.0000000000000018E-2</v>
      </c>
      <c r="AF22" s="477"/>
      <c r="AG22" s="477" t="s">
        <v>824</v>
      </c>
      <c r="AH22" s="489">
        <v>200</v>
      </c>
    </row>
    <row r="23" spans="1:34" ht="22.5" customHeight="1">
      <c r="A23" s="477"/>
      <c r="B23" s="477" t="s">
        <v>825</v>
      </c>
      <c r="C23" s="477"/>
      <c r="D23" s="486"/>
      <c r="E23" s="486"/>
      <c r="F23" s="486"/>
      <c r="G23" s="486"/>
      <c r="H23" s="486"/>
      <c r="I23" s="486"/>
      <c r="J23" s="486"/>
      <c r="K23" s="486"/>
      <c r="L23" s="486"/>
      <c r="M23" s="486"/>
      <c r="N23" s="486"/>
      <c r="O23" s="477"/>
      <c r="P23" s="477" t="s">
        <v>802</v>
      </c>
      <c r="Q23" s="490">
        <v>0.1</v>
      </c>
      <c r="R23" s="477"/>
      <c r="S23" s="477" t="s">
        <v>825</v>
      </c>
      <c r="T23" s="477"/>
      <c r="U23" s="486">
        <f t="shared" ref="U23:AE23" si="12">U21*$Q$25</f>
        <v>124.8</v>
      </c>
      <c r="V23" s="486">
        <f t="shared" si="12"/>
        <v>129.792</v>
      </c>
      <c r="W23" s="486">
        <f t="shared" si="12"/>
        <v>134.98367999999999</v>
      </c>
      <c r="X23" s="486">
        <f t="shared" si="12"/>
        <v>140.38302720000002</v>
      </c>
      <c r="Y23" s="486">
        <f t="shared" si="12"/>
        <v>145.99834828800002</v>
      </c>
      <c r="Z23" s="486">
        <f t="shared" si="12"/>
        <v>151.83828221952001</v>
      </c>
      <c r="AA23" s="486">
        <f t="shared" si="12"/>
        <v>157.91181350830081</v>
      </c>
      <c r="AB23" s="486">
        <f t="shared" si="12"/>
        <v>164.22828604863284</v>
      </c>
      <c r="AC23" s="486">
        <f t="shared" si="12"/>
        <v>170.79741749057817</v>
      </c>
      <c r="AD23" s="486">
        <f t="shared" si="12"/>
        <v>177.62931419020131</v>
      </c>
      <c r="AE23" s="486">
        <f t="shared" si="12"/>
        <v>181.18190047400535</v>
      </c>
      <c r="AF23" s="477"/>
      <c r="AG23" s="477" t="s">
        <v>802</v>
      </c>
      <c r="AH23" s="490">
        <v>0.1</v>
      </c>
    </row>
    <row r="24" spans="1:34" ht="22.5" customHeight="1">
      <c r="A24" s="477"/>
      <c r="B24" s="477" t="s">
        <v>826</v>
      </c>
      <c r="C24" s="477"/>
      <c r="D24" s="486"/>
      <c r="E24" s="486"/>
      <c r="F24" s="486"/>
      <c r="G24" s="486"/>
      <c r="H24" s="486"/>
      <c r="I24" s="486"/>
      <c r="J24" s="486"/>
      <c r="K24" s="486"/>
      <c r="L24" s="486"/>
      <c r="M24" s="486"/>
      <c r="N24" s="486"/>
      <c r="O24" s="477"/>
      <c r="P24" s="477" t="s">
        <v>827</v>
      </c>
      <c r="Q24" s="490">
        <v>0.04</v>
      </c>
      <c r="R24" s="477"/>
      <c r="S24" s="477" t="s">
        <v>826</v>
      </c>
      <c r="T24" s="477"/>
      <c r="U24" s="486">
        <f t="shared" ref="U24" si="13">U21-U23</f>
        <v>83.2</v>
      </c>
      <c r="V24" s="486">
        <f t="shared" ref="V24" si="14">V21-V23</f>
        <v>86.527999999999992</v>
      </c>
      <c r="W24" s="486">
        <f t="shared" ref="W24" si="15">W21-W23</f>
        <v>89.989120000000014</v>
      </c>
      <c r="X24" s="486">
        <f t="shared" ref="X24" si="16">X21-X23</f>
        <v>93.58868480000001</v>
      </c>
      <c r="Y24" s="486">
        <f t="shared" ref="Y24" si="17">Y21-Y23</f>
        <v>97.332232192000021</v>
      </c>
      <c r="Z24" s="486">
        <f t="shared" ref="Z24" si="18">Z21-Z23</f>
        <v>101.22552147968003</v>
      </c>
      <c r="AA24" s="486">
        <f t="shared" ref="AA24" si="19">AA21-AA23</f>
        <v>105.27454233886724</v>
      </c>
      <c r="AB24" s="486">
        <f t="shared" ref="AB24" si="20">AB21-AB23</f>
        <v>109.48552403242192</v>
      </c>
      <c r="AC24" s="486">
        <f t="shared" ref="AC24" si="21">AC21-AC23</f>
        <v>113.86494499371881</v>
      </c>
      <c r="AD24" s="486">
        <f t="shared" ref="AD24" si="22">AD21-AD23</f>
        <v>118.41954279346757</v>
      </c>
      <c r="AE24" s="486">
        <f t="shared" ref="AE24" si="23">AE21-AE23</f>
        <v>120.78793364933691</v>
      </c>
      <c r="AF24" s="477"/>
      <c r="AG24" s="477" t="s">
        <v>827</v>
      </c>
      <c r="AH24" s="490">
        <v>0.04</v>
      </c>
    </row>
    <row r="25" spans="1:34" ht="22.5" customHeight="1">
      <c r="A25" s="477"/>
      <c r="B25" s="477" t="s">
        <v>828</v>
      </c>
      <c r="C25" s="477"/>
      <c r="D25" s="491"/>
      <c r="E25" s="491"/>
      <c r="F25" s="491"/>
      <c r="G25" s="491"/>
      <c r="H25" s="491"/>
      <c r="I25" s="491"/>
      <c r="J25" s="491"/>
      <c r="K25" s="491"/>
      <c r="L25" s="491"/>
      <c r="M25" s="491"/>
      <c r="N25" s="491"/>
      <c r="O25" s="477"/>
      <c r="P25" s="477" t="s">
        <v>829</v>
      </c>
      <c r="Q25" s="490">
        <v>0.6</v>
      </c>
      <c r="R25" s="477"/>
      <c r="S25" s="477" t="s">
        <v>828</v>
      </c>
      <c r="T25" s="477"/>
      <c r="U25" s="491">
        <f t="shared" ref="U25:AE25" si="24">U21*$Q$26</f>
        <v>52</v>
      </c>
      <c r="V25" s="491">
        <f t="shared" si="24"/>
        <v>54.08</v>
      </c>
      <c r="W25" s="491">
        <f t="shared" si="24"/>
        <v>56.243200000000002</v>
      </c>
      <c r="X25" s="491">
        <f t="shared" si="24"/>
        <v>58.492928000000006</v>
      </c>
      <c r="Y25" s="491">
        <f t="shared" si="24"/>
        <v>60.832645120000009</v>
      </c>
      <c r="Z25" s="491">
        <f t="shared" si="24"/>
        <v>63.265950924800009</v>
      </c>
      <c r="AA25" s="491">
        <f t="shared" si="24"/>
        <v>65.796588961792011</v>
      </c>
      <c r="AB25" s="491">
        <f t="shared" si="24"/>
        <v>68.42845252026369</v>
      </c>
      <c r="AC25" s="491">
        <f t="shared" si="24"/>
        <v>71.165590621074244</v>
      </c>
      <c r="AD25" s="491">
        <f t="shared" si="24"/>
        <v>74.012214245917221</v>
      </c>
      <c r="AE25" s="491">
        <f t="shared" si="24"/>
        <v>75.492458530835563</v>
      </c>
      <c r="AF25" s="477"/>
      <c r="AG25" s="477" t="s">
        <v>829</v>
      </c>
      <c r="AH25" s="490">
        <v>0.6</v>
      </c>
    </row>
    <row r="26" spans="1:34" ht="22.5" customHeight="1">
      <c r="A26" s="477"/>
      <c r="B26" s="477" t="s">
        <v>595</v>
      </c>
      <c r="C26" s="477"/>
      <c r="D26" s="486"/>
      <c r="E26" s="486"/>
      <c r="F26" s="486"/>
      <c r="G26" s="486"/>
      <c r="H26" s="486"/>
      <c r="I26" s="486"/>
      <c r="J26" s="486"/>
      <c r="K26" s="486"/>
      <c r="L26" s="486"/>
      <c r="M26" s="486"/>
      <c r="N26" s="486"/>
      <c r="O26" s="477"/>
      <c r="P26" s="477" t="s">
        <v>830</v>
      </c>
      <c r="Q26" s="490">
        <v>0.25</v>
      </c>
      <c r="R26" s="477"/>
      <c r="S26" s="477" t="s">
        <v>595</v>
      </c>
      <c r="T26" s="477"/>
      <c r="U26" s="486">
        <f t="shared" ref="U26" si="25">U24-U25</f>
        <v>31.200000000000003</v>
      </c>
      <c r="V26" s="486">
        <f t="shared" ref="V26" si="26">V24-V25</f>
        <v>32.447999999999993</v>
      </c>
      <c r="W26" s="486">
        <f t="shared" ref="W26" si="27">W24-W25</f>
        <v>33.745920000000012</v>
      </c>
      <c r="X26" s="486">
        <f t="shared" ref="X26" si="28">X24-X25</f>
        <v>35.095756800000004</v>
      </c>
      <c r="Y26" s="486">
        <f t="shared" ref="Y26" si="29">Y24-Y25</f>
        <v>36.499587072000011</v>
      </c>
      <c r="Z26" s="486">
        <f t="shared" ref="Z26" si="30">Z24-Z25</f>
        <v>37.959570554880017</v>
      </c>
      <c r="AA26" s="486">
        <f t="shared" ref="AA26" si="31">AA24-AA25</f>
        <v>39.477953377075224</v>
      </c>
      <c r="AB26" s="486">
        <f t="shared" ref="AB26" si="32">AB24-AB25</f>
        <v>41.057071512158231</v>
      </c>
      <c r="AC26" s="486">
        <f t="shared" ref="AC26" si="33">AC24-AC25</f>
        <v>42.699354372644564</v>
      </c>
      <c r="AD26" s="486">
        <f t="shared" ref="AD26" si="34">AD24-AD25</f>
        <v>44.40732854755035</v>
      </c>
      <c r="AE26" s="486">
        <f t="shared" ref="AE26" si="35">AE24-AE25</f>
        <v>45.295475118501344</v>
      </c>
      <c r="AF26" s="477"/>
      <c r="AG26" s="477" t="s">
        <v>830</v>
      </c>
      <c r="AH26" s="490">
        <v>0.25</v>
      </c>
    </row>
    <row r="27" spans="1:34" ht="22.5" customHeight="1">
      <c r="A27" s="477"/>
      <c r="B27" s="487" t="s">
        <v>831</v>
      </c>
      <c r="C27" s="477"/>
      <c r="D27" s="488"/>
      <c r="E27" s="488"/>
      <c r="F27" s="488"/>
      <c r="G27" s="488"/>
      <c r="H27" s="488"/>
      <c r="I27" s="488"/>
      <c r="J27" s="488"/>
      <c r="K27" s="488"/>
      <c r="L27" s="488"/>
      <c r="M27" s="488"/>
      <c r="N27" s="488"/>
      <c r="O27" s="477"/>
      <c r="P27" s="477" t="s">
        <v>832</v>
      </c>
      <c r="Q27" s="490">
        <v>0.02</v>
      </c>
      <c r="R27" s="477"/>
      <c r="S27" s="487" t="s">
        <v>831</v>
      </c>
      <c r="T27" s="477"/>
      <c r="U27" s="488">
        <f t="shared" ref="U27" si="36">U26/U21</f>
        <v>0.15000000000000002</v>
      </c>
      <c r="V27" s="488">
        <f t="shared" ref="V27" si="37">V26/V21</f>
        <v>0.14999999999999997</v>
      </c>
      <c r="W27" s="488">
        <f t="shared" ref="W27" si="38">W26/W21</f>
        <v>0.15000000000000005</v>
      </c>
      <c r="X27" s="488">
        <f t="shared" ref="X27" si="39">X26/X21</f>
        <v>0.15</v>
      </c>
      <c r="Y27" s="488">
        <f t="shared" ref="Y27" si="40">Y26/Y21</f>
        <v>0.15000000000000002</v>
      </c>
      <c r="Z27" s="488">
        <f t="shared" ref="Z27" si="41">Z26/Z21</f>
        <v>0.15000000000000005</v>
      </c>
      <c r="AA27" s="488">
        <f t="shared" ref="AA27" si="42">AA26/AA21</f>
        <v>0.15000000000000008</v>
      </c>
      <c r="AB27" s="488">
        <f t="shared" ref="AB27" si="43">AB26/AB21</f>
        <v>0.15000000000000005</v>
      </c>
      <c r="AC27" s="488">
        <f t="shared" ref="AC27" si="44">AC26/AC21</f>
        <v>0.15000000000000005</v>
      </c>
      <c r="AD27" s="488">
        <f t="shared" ref="AD27" si="45">AD26/AD21</f>
        <v>0.15000000000000005</v>
      </c>
      <c r="AE27" s="488">
        <f t="shared" ref="AE27" si="46">AE26/AE21</f>
        <v>0.15000000000000002</v>
      </c>
      <c r="AF27" s="477"/>
      <c r="AG27" s="477" t="s">
        <v>832</v>
      </c>
      <c r="AH27" s="490">
        <v>0.02</v>
      </c>
    </row>
    <row r="28" spans="1:34" ht="22.5" customHeight="1">
      <c r="A28" s="477"/>
      <c r="B28" s="477" t="s">
        <v>573</v>
      </c>
      <c r="C28" s="477"/>
      <c r="D28" s="492"/>
      <c r="E28" s="492"/>
      <c r="F28" s="492"/>
      <c r="G28" s="492"/>
      <c r="H28" s="492"/>
      <c r="I28" s="492"/>
      <c r="J28" s="492"/>
      <c r="K28" s="492"/>
      <c r="L28" s="492"/>
      <c r="M28" s="492"/>
      <c r="N28" s="492"/>
      <c r="O28" s="477"/>
      <c r="P28" s="477" t="s">
        <v>833</v>
      </c>
      <c r="Q28" s="490">
        <v>0.3</v>
      </c>
      <c r="R28" s="477"/>
      <c r="S28" s="477" t="s">
        <v>573</v>
      </c>
      <c r="T28" s="477"/>
      <c r="U28" s="492">
        <f t="shared" ref="U28:AE28" si="47">-U26*$Q$28</f>
        <v>-9.3600000000000012</v>
      </c>
      <c r="V28" s="492">
        <f t="shared" si="47"/>
        <v>-9.7343999999999973</v>
      </c>
      <c r="W28" s="492">
        <f t="shared" si="47"/>
        <v>-10.123776000000003</v>
      </c>
      <c r="X28" s="492">
        <f t="shared" si="47"/>
        <v>-10.528727040000001</v>
      </c>
      <c r="Y28" s="492">
        <f t="shared" si="47"/>
        <v>-10.949876121600003</v>
      </c>
      <c r="Z28" s="492">
        <f t="shared" si="47"/>
        <v>-11.387871166464004</v>
      </c>
      <c r="AA28" s="492">
        <f t="shared" si="47"/>
        <v>-11.843386013122567</v>
      </c>
      <c r="AB28" s="492">
        <f t="shared" si="47"/>
        <v>-12.317121453647468</v>
      </c>
      <c r="AC28" s="492">
        <f t="shared" si="47"/>
        <v>-12.809806311793368</v>
      </c>
      <c r="AD28" s="492">
        <f t="shared" si="47"/>
        <v>-13.322198564265104</v>
      </c>
      <c r="AE28" s="492">
        <f t="shared" si="47"/>
        <v>-13.588642535550402</v>
      </c>
      <c r="AF28" s="477"/>
      <c r="AG28" s="477" t="s">
        <v>833</v>
      </c>
      <c r="AH28" s="490">
        <v>0.3</v>
      </c>
    </row>
    <row r="29" spans="1:34" ht="22.5" customHeight="1">
      <c r="A29" s="477"/>
      <c r="B29" s="477" t="s">
        <v>834</v>
      </c>
      <c r="C29" s="477"/>
      <c r="D29" s="492"/>
      <c r="E29" s="492"/>
      <c r="F29" s="492"/>
      <c r="G29" s="492"/>
      <c r="H29" s="492"/>
      <c r="I29" s="492"/>
      <c r="J29" s="492"/>
      <c r="K29" s="492"/>
      <c r="L29" s="492"/>
      <c r="M29" s="492"/>
      <c r="N29" s="492"/>
      <c r="O29" s="477"/>
      <c r="P29" s="477" t="s">
        <v>835</v>
      </c>
      <c r="Q29" s="490">
        <v>0.1</v>
      </c>
      <c r="R29" s="477"/>
      <c r="S29" s="477" t="s">
        <v>834</v>
      </c>
      <c r="T29" s="477"/>
      <c r="U29" s="492">
        <f t="shared" ref="U29" si="48">U28+U26</f>
        <v>21.840000000000003</v>
      </c>
      <c r="V29" s="492">
        <f t="shared" ref="V29" si="49">V28+V26</f>
        <v>22.713599999999996</v>
      </c>
      <c r="W29" s="492">
        <f t="shared" ref="W29" si="50">W28+W26</f>
        <v>23.622144000000009</v>
      </c>
      <c r="X29" s="492">
        <f t="shared" ref="X29" si="51">X28+X26</f>
        <v>24.567029760000004</v>
      </c>
      <c r="Y29" s="492">
        <f t="shared" ref="Y29" si="52">Y28+Y26</f>
        <v>25.549710950400009</v>
      </c>
      <c r="Z29" s="492">
        <f t="shared" ref="Z29" si="53">Z28+Z26</f>
        <v>26.571699388416015</v>
      </c>
      <c r="AA29" s="492">
        <f t="shared" ref="AA29" si="54">AA28+AA26</f>
        <v>27.634567363952655</v>
      </c>
      <c r="AB29" s="492">
        <f t="shared" ref="AB29" si="55">AB28+AB26</f>
        <v>28.739950058510765</v>
      </c>
      <c r="AC29" s="492">
        <f t="shared" ref="AC29" si="56">AC28+AC26</f>
        <v>29.889548060851197</v>
      </c>
      <c r="AD29" s="492">
        <f t="shared" ref="AD29" si="57">AD28+AD26</f>
        <v>31.085129983285245</v>
      </c>
      <c r="AE29" s="492">
        <f t="shared" ref="AE29" si="58">AE28+AE26</f>
        <v>31.706832582950941</v>
      </c>
      <c r="AF29" s="477"/>
      <c r="AG29" s="477" t="s">
        <v>835</v>
      </c>
      <c r="AH29" s="490">
        <v>0.1</v>
      </c>
    </row>
    <row r="30" spans="1:34" ht="22.5" customHeight="1">
      <c r="A30" s="477"/>
      <c r="B30" s="477" t="s">
        <v>836</v>
      </c>
      <c r="C30" s="477"/>
      <c r="D30" s="492"/>
      <c r="E30" s="492"/>
      <c r="F30" s="492"/>
      <c r="G30" s="492"/>
      <c r="H30" s="492"/>
      <c r="I30" s="492"/>
      <c r="J30" s="492"/>
      <c r="K30" s="492"/>
      <c r="L30" s="492"/>
      <c r="M30" s="492"/>
      <c r="N30" s="492"/>
      <c r="O30" s="477"/>
      <c r="P30" s="477" t="s">
        <v>921</v>
      </c>
      <c r="Q30" s="489">
        <v>8</v>
      </c>
      <c r="R30" s="477"/>
      <c r="S30" s="477" t="s">
        <v>836</v>
      </c>
      <c r="T30" s="477"/>
      <c r="U30" s="492">
        <f>$Q$30</f>
        <v>8</v>
      </c>
      <c r="V30" s="492">
        <f t="shared" ref="V30:AE30" si="59">$Q$30</f>
        <v>8</v>
      </c>
      <c r="W30" s="492">
        <f t="shared" si="59"/>
        <v>8</v>
      </c>
      <c r="X30" s="492">
        <f t="shared" si="59"/>
        <v>8</v>
      </c>
      <c r="Y30" s="492">
        <f t="shared" si="59"/>
        <v>8</v>
      </c>
      <c r="Z30" s="492">
        <f t="shared" si="59"/>
        <v>8</v>
      </c>
      <c r="AA30" s="492">
        <f t="shared" si="59"/>
        <v>8</v>
      </c>
      <c r="AB30" s="492">
        <f t="shared" si="59"/>
        <v>8</v>
      </c>
      <c r="AC30" s="492">
        <f t="shared" si="59"/>
        <v>8</v>
      </c>
      <c r="AD30" s="492">
        <f t="shared" si="59"/>
        <v>8</v>
      </c>
      <c r="AE30" s="492">
        <f t="shared" si="59"/>
        <v>8</v>
      </c>
      <c r="AF30" s="477"/>
      <c r="AG30" s="477" t="s">
        <v>921</v>
      </c>
      <c r="AH30" s="489">
        <v>8</v>
      </c>
    </row>
    <row r="31" spans="1:34" ht="22.5" customHeight="1">
      <c r="A31" s="477"/>
      <c r="B31" s="477" t="s">
        <v>837</v>
      </c>
      <c r="C31" s="477"/>
      <c r="D31" s="492"/>
      <c r="E31" s="492"/>
      <c r="F31" s="492"/>
      <c r="G31" s="492"/>
      <c r="H31" s="492"/>
      <c r="I31" s="492"/>
      <c r="J31" s="492"/>
      <c r="K31" s="492"/>
      <c r="L31" s="492"/>
      <c r="M31" s="492"/>
      <c r="N31" s="492"/>
      <c r="O31" s="477"/>
      <c r="P31" s="477" t="s">
        <v>838</v>
      </c>
      <c r="Q31" s="489">
        <v>9</v>
      </c>
      <c r="R31" s="477"/>
      <c r="S31" s="477" t="s">
        <v>837</v>
      </c>
      <c r="T31" s="477"/>
      <c r="U31" s="492">
        <f>-(U21-(U21/(1+U22)))*$Q$29</f>
        <v>-0.8</v>
      </c>
      <c r="V31" s="492">
        <f t="shared" ref="V31:AE31" si="60">-(V21-(V21/(1+V22)))*$Q$29</f>
        <v>-0.83199999999999941</v>
      </c>
      <c r="W31" s="492">
        <f t="shared" si="60"/>
        <v>-0.86528000000000138</v>
      </c>
      <c r="X31" s="492">
        <f t="shared" si="60"/>
        <v>-0.89989120000000189</v>
      </c>
      <c r="Y31" s="492">
        <f t="shared" si="60"/>
        <v>-0.93588684800000133</v>
      </c>
      <c r="Z31" s="492">
        <f t="shared" si="60"/>
        <v>-0.97332232192000001</v>
      </c>
      <c r="AA31" s="492">
        <f t="shared" si="60"/>
        <v>-1.0122552147968009</v>
      </c>
      <c r="AB31" s="492">
        <f t="shared" si="60"/>
        <v>-1.0527454233886715</v>
      </c>
      <c r="AC31" s="492">
        <f t="shared" si="60"/>
        <v>-1.0948552403242218</v>
      </c>
      <c r="AD31" s="492">
        <f t="shared" si="60"/>
        <v>-1.1386494499371906</v>
      </c>
      <c r="AE31" s="492">
        <f t="shared" si="60"/>
        <v>-0.5920977139673369</v>
      </c>
      <c r="AF31" s="477"/>
      <c r="AG31" s="477" t="s">
        <v>838</v>
      </c>
      <c r="AH31" s="489">
        <v>9</v>
      </c>
    </row>
    <row r="32" spans="1:34" ht="22.5" customHeight="1">
      <c r="A32" s="477"/>
      <c r="B32" s="477" t="s">
        <v>917</v>
      </c>
      <c r="C32" s="477"/>
      <c r="D32" s="492"/>
      <c r="E32" s="492"/>
      <c r="F32" s="492"/>
      <c r="G32" s="492"/>
      <c r="H32" s="492"/>
      <c r="I32" s="492"/>
      <c r="J32" s="492"/>
      <c r="K32" s="492"/>
      <c r="L32" s="492"/>
      <c r="M32" s="492"/>
      <c r="N32" s="492"/>
      <c r="O32" s="477"/>
      <c r="P32" s="477"/>
      <c r="Q32" s="477"/>
      <c r="R32" s="477"/>
      <c r="S32" s="477" t="s">
        <v>917</v>
      </c>
      <c r="T32" s="477"/>
      <c r="U32" s="492">
        <f t="shared" ref="U32:AE32" si="61">-$Q$31</f>
        <v>-9</v>
      </c>
      <c r="V32" s="492">
        <f t="shared" si="61"/>
        <v>-9</v>
      </c>
      <c r="W32" s="492">
        <f t="shared" si="61"/>
        <v>-9</v>
      </c>
      <c r="X32" s="492">
        <f t="shared" si="61"/>
        <v>-9</v>
      </c>
      <c r="Y32" s="492">
        <f t="shared" si="61"/>
        <v>-9</v>
      </c>
      <c r="Z32" s="492">
        <f t="shared" si="61"/>
        <v>-9</v>
      </c>
      <c r="AA32" s="492">
        <f t="shared" si="61"/>
        <v>-9</v>
      </c>
      <c r="AB32" s="492">
        <f t="shared" si="61"/>
        <v>-9</v>
      </c>
      <c r="AC32" s="492">
        <f t="shared" si="61"/>
        <v>-9</v>
      </c>
      <c r="AD32" s="492">
        <f t="shared" si="61"/>
        <v>-9</v>
      </c>
      <c r="AE32" s="492">
        <f t="shared" si="61"/>
        <v>-9</v>
      </c>
      <c r="AF32" s="477"/>
      <c r="AG32" s="477"/>
      <c r="AH32" s="477"/>
    </row>
    <row r="33" spans="1:34" ht="22.5" customHeight="1">
      <c r="A33" s="477"/>
      <c r="B33" s="477" t="s">
        <v>839</v>
      </c>
      <c r="C33" s="477"/>
      <c r="D33" s="492"/>
      <c r="E33" s="492"/>
      <c r="F33" s="492"/>
      <c r="G33" s="492"/>
      <c r="H33" s="492"/>
      <c r="I33" s="492"/>
      <c r="J33" s="492"/>
      <c r="K33" s="492"/>
      <c r="L33" s="492"/>
      <c r="M33" s="492"/>
      <c r="N33" s="492"/>
      <c r="O33" s="477"/>
      <c r="P33" s="477"/>
      <c r="Q33" s="477"/>
      <c r="R33" s="477"/>
      <c r="S33" s="477" t="s">
        <v>839</v>
      </c>
      <c r="T33" s="477"/>
      <c r="U33" s="492">
        <f t="shared" ref="U33" si="62">SUM(U29:U32)</f>
        <v>20.040000000000003</v>
      </c>
      <c r="V33" s="492">
        <f t="shared" ref="V33" si="63">SUM(V29:V32)</f>
        <v>20.881599999999995</v>
      </c>
      <c r="W33" s="492">
        <f t="shared" ref="W33" si="64">SUM(W29:W32)</f>
        <v>21.756864000000007</v>
      </c>
      <c r="X33" s="492">
        <f t="shared" ref="X33" si="65">SUM(X29:X32)</f>
        <v>22.667138560000001</v>
      </c>
      <c r="Y33" s="492">
        <f t="shared" ref="Y33" si="66">SUM(Y29:Y32)</f>
        <v>23.61382410240001</v>
      </c>
      <c r="Z33" s="492">
        <f t="shared" ref="Z33" si="67">SUM(Z29:Z32)</f>
        <v>24.598377066496013</v>
      </c>
      <c r="AA33" s="492">
        <f t="shared" ref="AA33" si="68">SUM(AA29:AA32)</f>
        <v>25.622312149155853</v>
      </c>
      <c r="AB33" s="492">
        <f t="shared" ref="AB33" si="69">SUM(AB29:AB32)</f>
        <v>26.687204635122093</v>
      </c>
      <c r="AC33" s="492">
        <f t="shared" ref="AC33" si="70">SUM(AC29:AC32)</f>
        <v>27.794692820526976</v>
      </c>
      <c r="AD33" s="492">
        <f t="shared" ref="AD33" si="71">SUM(AD29:AD32)</f>
        <v>28.946480533348051</v>
      </c>
      <c r="AE33" s="492">
        <f t="shared" ref="AE33" si="72">SUM(AE29:AE32)</f>
        <v>30.114734868983604</v>
      </c>
      <c r="AF33" s="477"/>
      <c r="AG33" s="477"/>
      <c r="AH33" s="477"/>
    </row>
    <row r="34" spans="1:34" ht="22.5" customHeight="1">
      <c r="A34" s="477"/>
      <c r="B34" s="477" t="s">
        <v>840</v>
      </c>
      <c r="C34" s="477"/>
      <c r="D34" s="492"/>
      <c r="E34" s="492"/>
      <c r="F34" s="492"/>
      <c r="G34" s="492"/>
      <c r="H34" s="492"/>
      <c r="I34" s="492"/>
      <c r="J34" s="492"/>
      <c r="K34" s="492"/>
      <c r="L34" s="492"/>
      <c r="M34" s="492"/>
      <c r="N34" s="492"/>
      <c r="O34" s="477"/>
      <c r="P34" s="477"/>
      <c r="Q34" s="477"/>
      <c r="R34" s="477"/>
      <c r="S34" s="477" t="s">
        <v>840</v>
      </c>
      <c r="T34" s="477"/>
      <c r="U34" s="492"/>
      <c r="V34" s="492"/>
      <c r="W34" s="492"/>
      <c r="X34" s="492"/>
      <c r="Y34" s="492"/>
      <c r="Z34" s="492"/>
      <c r="AA34" s="492"/>
      <c r="AB34" s="492"/>
      <c r="AC34" s="492"/>
      <c r="AD34" s="492"/>
      <c r="AE34" s="492">
        <f>AE33/($Q$23-$Q$27)</f>
        <v>376.43418586229501</v>
      </c>
      <c r="AF34" s="477"/>
      <c r="AG34" s="477"/>
      <c r="AH34" s="477"/>
    </row>
    <row r="35" spans="1:34" ht="22.5" customHeight="1">
      <c r="A35" s="477"/>
      <c r="B35" s="477" t="s">
        <v>841</v>
      </c>
      <c r="C35" s="477"/>
      <c r="D35" s="492"/>
      <c r="E35" s="492"/>
      <c r="F35" s="492"/>
      <c r="G35" s="492"/>
      <c r="H35" s="492"/>
      <c r="I35" s="492"/>
      <c r="J35" s="492"/>
      <c r="K35" s="492"/>
      <c r="L35" s="492"/>
      <c r="M35" s="492"/>
      <c r="N35" s="492"/>
      <c r="O35" s="477"/>
      <c r="P35" s="477"/>
      <c r="Q35" s="477"/>
      <c r="R35" s="477"/>
      <c r="S35" s="477" t="s">
        <v>841</v>
      </c>
      <c r="T35" s="477"/>
      <c r="U35" s="492">
        <f t="shared" ref="U35:AD35" si="73">+U33</f>
        <v>20.040000000000003</v>
      </c>
      <c r="V35" s="492">
        <f t="shared" si="73"/>
        <v>20.881599999999995</v>
      </c>
      <c r="W35" s="492">
        <f t="shared" si="73"/>
        <v>21.756864000000007</v>
      </c>
      <c r="X35" s="492">
        <f t="shared" si="73"/>
        <v>22.667138560000001</v>
      </c>
      <c r="Y35" s="492">
        <f t="shared" si="73"/>
        <v>23.61382410240001</v>
      </c>
      <c r="Z35" s="492">
        <f t="shared" si="73"/>
        <v>24.598377066496013</v>
      </c>
      <c r="AA35" s="492">
        <f t="shared" si="73"/>
        <v>25.622312149155853</v>
      </c>
      <c r="AB35" s="492">
        <f t="shared" si="73"/>
        <v>26.687204635122093</v>
      </c>
      <c r="AC35" s="492">
        <f t="shared" si="73"/>
        <v>27.794692820526976</v>
      </c>
      <c r="AD35" s="492">
        <f t="shared" si="73"/>
        <v>28.946480533348051</v>
      </c>
      <c r="AE35" s="492">
        <f>+AE34</f>
        <v>376.43418586229501</v>
      </c>
      <c r="AF35" s="477"/>
      <c r="AG35" s="477"/>
      <c r="AH35" s="477"/>
    </row>
    <row r="36" spans="1:34" ht="22.5" customHeight="1">
      <c r="A36" s="477"/>
      <c r="B36" s="477" t="s">
        <v>842</v>
      </c>
      <c r="C36" s="477"/>
      <c r="D36" s="486"/>
      <c r="E36" s="486"/>
      <c r="F36" s="486"/>
      <c r="G36" s="486"/>
      <c r="H36" s="486"/>
      <c r="I36" s="486"/>
      <c r="J36" s="486"/>
      <c r="K36" s="486"/>
      <c r="L36" s="486"/>
      <c r="M36" s="486"/>
      <c r="N36" s="486"/>
      <c r="O36" s="477"/>
      <c r="P36" s="477"/>
      <c r="Q36" s="477"/>
      <c r="R36" s="477"/>
      <c r="S36" s="477" t="s">
        <v>842</v>
      </c>
      <c r="T36" s="477"/>
      <c r="U36" s="486">
        <f>U35/(1+$Q$23)^1</f>
        <v>18.218181818181819</v>
      </c>
      <c r="V36" s="486">
        <f>V35/(1+$Q$23)^2</f>
        <v>17.257520661157017</v>
      </c>
      <c r="W36" s="486">
        <f>W35/(1+$Q$23)^3</f>
        <v>16.346253944402704</v>
      </c>
      <c r="X36" s="486">
        <f>X35/(1+$Q$23)^4</f>
        <v>15.48196063110443</v>
      </c>
      <c r="Y36" s="486">
        <f>Y35/(1+$Q$23)^5</f>
        <v>14.662326904148376</v>
      </c>
      <c r="Z36" s="486">
        <f>Z35/(1+$Q$23)^6</f>
        <v>13.885142575669708</v>
      </c>
      <c r="AA36" s="486">
        <f>AA35/(1+$Q$23)^7</f>
        <v>13.148297487180585</v>
      </c>
      <c r="AB36" s="486">
        <f>AB35/(1+$Q$23)^8</f>
        <v>12.449777919451856</v>
      </c>
      <c r="AC36" s="486">
        <f>AC35/(1+$Q$23)^9</f>
        <v>11.787663028580289</v>
      </c>
      <c r="AD36" s="486">
        <f>AD35/(1+$Q$23)^10</f>
        <v>11.160121322234906</v>
      </c>
      <c r="AE36" s="486">
        <f>AE35/(1+$Q$23)^11</f>
        <v>131.93788570097894</v>
      </c>
      <c r="AF36" s="477"/>
      <c r="AG36" s="477"/>
      <c r="AH36" s="477"/>
    </row>
    <row r="37" spans="1:34" ht="22.5" customHeight="1">
      <c r="A37" s="477"/>
      <c r="B37" s="477"/>
      <c r="C37" s="477"/>
      <c r="D37" s="493"/>
      <c r="E37" s="493"/>
      <c r="F37" s="493"/>
      <c r="G37" s="493"/>
      <c r="H37" s="493"/>
      <c r="I37" s="493"/>
      <c r="J37" s="493"/>
      <c r="K37" s="493"/>
      <c r="L37" s="493"/>
      <c r="M37" s="493"/>
      <c r="N37" s="493"/>
      <c r="O37" s="477"/>
      <c r="P37" s="477"/>
      <c r="Q37" s="477"/>
      <c r="R37" s="477"/>
      <c r="S37" s="477"/>
      <c r="T37" s="477"/>
      <c r="U37" s="493"/>
      <c r="V37" s="493"/>
      <c r="W37" s="493"/>
      <c r="X37" s="493"/>
      <c r="Y37" s="493"/>
      <c r="Z37" s="493"/>
      <c r="AA37" s="493"/>
      <c r="AB37" s="493"/>
      <c r="AC37" s="493"/>
      <c r="AD37" s="493"/>
      <c r="AE37" s="493"/>
      <c r="AF37" s="477"/>
      <c r="AG37" s="477"/>
      <c r="AH37" s="477"/>
    </row>
    <row r="38" spans="1:34" ht="22.5" customHeight="1">
      <c r="A38" s="477"/>
      <c r="B38" s="477" t="s">
        <v>843</v>
      </c>
      <c r="C38" s="477"/>
      <c r="D38" s="494">
        <f>SUM(D36:N36)</f>
        <v>0</v>
      </c>
      <c r="E38" s="495"/>
      <c r="F38" s="495"/>
      <c r="G38" s="495"/>
      <c r="H38" s="495"/>
      <c r="I38" s="495"/>
      <c r="J38" s="495"/>
      <c r="K38" s="495"/>
      <c r="L38" s="495"/>
      <c r="M38" s="495"/>
      <c r="N38" s="477"/>
      <c r="O38" s="477"/>
      <c r="P38" s="477"/>
      <c r="Q38" s="477"/>
      <c r="R38" s="477"/>
      <c r="S38" s="477" t="s">
        <v>843</v>
      </c>
      <c r="T38" s="477"/>
      <c r="U38" s="494">
        <f>SUM(U36:AE36)</f>
        <v>276.33513199309061</v>
      </c>
      <c r="V38" s="495"/>
      <c r="W38" s="495"/>
      <c r="X38" s="495"/>
      <c r="Y38" s="495"/>
      <c r="Z38" s="495"/>
      <c r="AA38" s="495"/>
      <c r="AB38" s="495"/>
      <c r="AC38" s="495"/>
      <c r="AD38" s="495"/>
      <c r="AE38" s="477"/>
      <c r="AF38" s="477"/>
      <c r="AG38" s="477"/>
      <c r="AH38" s="477"/>
    </row>
    <row r="39" spans="1:34" ht="22.5" customHeight="1">
      <c r="A39" s="477"/>
      <c r="B39" s="477"/>
      <c r="C39" s="477"/>
      <c r="D39" s="496"/>
      <c r="E39" s="495"/>
      <c r="F39" s="495"/>
      <c r="G39" s="495"/>
      <c r="H39" s="477"/>
      <c r="I39" s="477"/>
      <c r="J39" s="477"/>
      <c r="K39" s="477"/>
      <c r="L39" s="477"/>
      <c r="M39" s="495"/>
      <c r="N39" s="477"/>
      <c r="O39" s="477"/>
      <c r="P39" s="477"/>
      <c r="Q39" s="477"/>
      <c r="R39" s="477"/>
      <c r="S39" s="478"/>
      <c r="T39" s="478"/>
      <c r="U39" s="478"/>
      <c r="V39" s="478"/>
      <c r="W39" s="478"/>
      <c r="X39" s="478"/>
      <c r="Y39" s="478"/>
      <c r="Z39" s="478"/>
    </row>
    <row r="40" spans="1:34" ht="22.5" customHeight="1">
      <c r="A40" s="477"/>
      <c r="B40" s="497" t="s">
        <v>844</v>
      </c>
      <c r="C40" s="477"/>
      <c r="D40" s="496"/>
      <c r="E40" s="495"/>
      <c r="F40" s="495"/>
      <c r="G40" s="477"/>
      <c r="H40" s="477"/>
      <c r="I40" s="477"/>
      <c r="J40" s="477"/>
      <c r="K40" s="477"/>
      <c r="L40" s="477"/>
      <c r="M40" s="495"/>
      <c r="N40" s="477"/>
      <c r="O40" s="477"/>
      <c r="P40" s="477"/>
      <c r="Q40" s="477"/>
      <c r="R40" s="477"/>
      <c r="S40" s="478"/>
      <c r="T40" s="478"/>
      <c r="U40" s="478"/>
      <c r="V40" s="478"/>
      <c r="W40" s="478"/>
      <c r="X40" s="478"/>
      <c r="Y40" s="478"/>
      <c r="Z40" s="478"/>
    </row>
    <row r="41" spans="1:34" ht="22.5" customHeight="1">
      <c r="A41" s="477"/>
      <c r="B41" s="477" t="s">
        <v>845</v>
      </c>
      <c r="C41" s="477"/>
      <c r="D41" s="496"/>
      <c r="E41" s="495"/>
      <c r="F41" s="495"/>
      <c r="G41" s="495"/>
      <c r="H41" s="477"/>
      <c r="I41" s="477"/>
      <c r="J41" s="477"/>
      <c r="K41" s="477"/>
      <c r="L41" s="477"/>
      <c r="M41" s="495"/>
      <c r="N41" s="477"/>
      <c r="O41" s="477"/>
      <c r="P41" s="477"/>
      <c r="Q41" s="477"/>
      <c r="R41" s="477"/>
      <c r="S41" s="478"/>
      <c r="T41" s="478"/>
      <c r="U41" s="478"/>
      <c r="V41" s="478"/>
      <c r="W41" s="478"/>
      <c r="X41" s="478"/>
      <c r="Y41" s="478"/>
      <c r="Z41" s="478"/>
    </row>
    <row r="42" spans="1:34" ht="22.5" customHeight="1">
      <c r="A42" s="477"/>
      <c r="B42" s="477" t="s">
        <v>846</v>
      </c>
      <c r="C42" s="477"/>
      <c r="D42" s="496"/>
      <c r="E42" s="495"/>
      <c r="F42" s="495"/>
      <c r="G42" s="495"/>
      <c r="H42" s="477"/>
      <c r="I42" s="477"/>
      <c r="J42" s="477"/>
      <c r="K42" s="477"/>
      <c r="L42" s="477"/>
      <c r="M42" s="495"/>
      <c r="N42" s="477"/>
      <c r="O42" s="477"/>
      <c r="P42" s="477"/>
      <c r="Q42" s="477"/>
      <c r="R42" s="477"/>
      <c r="S42" s="478"/>
      <c r="T42" s="478"/>
      <c r="U42" s="478"/>
      <c r="V42" s="478"/>
      <c r="W42" s="478"/>
      <c r="X42" s="478"/>
      <c r="Y42" s="478"/>
      <c r="Z42" s="478"/>
    </row>
    <row r="43" spans="1:34" ht="22.5" customHeight="1">
      <c r="A43" s="477"/>
      <c r="B43" s="477" t="s">
        <v>847</v>
      </c>
      <c r="C43" s="477"/>
      <c r="D43" s="496"/>
      <c r="E43" s="495"/>
      <c r="F43" s="495"/>
      <c r="G43" s="495"/>
      <c r="H43" s="477"/>
      <c r="I43" s="477"/>
      <c r="J43" s="477"/>
      <c r="K43" s="477"/>
      <c r="L43" s="477"/>
      <c r="M43" s="495"/>
      <c r="N43" s="477"/>
      <c r="O43" s="477"/>
      <c r="P43" s="477"/>
      <c r="Q43" s="477"/>
      <c r="R43" s="477"/>
      <c r="S43" s="478"/>
      <c r="T43" s="478"/>
      <c r="U43" s="478"/>
      <c r="V43" s="478"/>
      <c r="W43" s="478"/>
      <c r="X43" s="478"/>
      <c r="Y43" s="478"/>
      <c r="Z43" s="478"/>
    </row>
    <row r="44" spans="1:34" ht="22.5" customHeight="1">
      <c r="A44" s="477"/>
      <c r="B44" s="477" t="s">
        <v>922</v>
      </c>
      <c r="C44" s="477"/>
      <c r="D44" s="477"/>
      <c r="E44" s="477"/>
      <c r="F44" s="477"/>
      <c r="G44" s="477"/>
      <c r="H44" s="477"/>
      <c r="I44" s="477"/>
      <c r="J44" s="477"/>
      <c r="K44" s="477"/>
      <c r="L44" s="477"/>
      <c r="M44" s="477"/>
      <c r="N44" s="477"/>
      <c r="O44" s="477"/>
      <c r="P44" s="477"/>
      <c r="Q44" s="477"/>
      <c r="R44" s="477"/>
      <c r="S44" s="478"/>
      <c r="T44" s="478"/>
      <c r="U44" s="478"/>
      <c r="V44" s="478"/>
      <c r="W44" s="478"/>
      <c r="X44" s="478"/>
      <c r="Y44" s="478"/>
      <c r="Z44" s="478"/>
    </row>
    <row r="45" spans="1:34" ht="22.5" customHeight="1">
      <c r="A45" s="478"/>
      <c r="B45" s="478"/>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row>
    <row r="46" spans="1:34" ht="18.75" customHeight="1">
      <c r="A46" s="227"/>
      <c r="B46" s="197"/>
      <c r="C46" s="197"/>
      <c r="D46" s="197"/>
      <c r="E46" s="197"/>
      <c r="F46" s="197"/>
      <c r="G46" s="197"/>
      <c r="H46" s="197"/>
      <c r="I46" s="197"/>
      <c r="J46" s="197"/>
      <c r="K46" s="197"/>
      <c r="L46" s="197"/>
      <c r="M46" s="197"/>
      <c r="N46" s="197"/>
      <c r="O46" s="498"/>
      <c r="P46" s="227"/>
      <c r="Q46" s="227"/>
      <c r="R46" s="227"/>
      <c r="S46" s="227"/>
      <c r="T46" s="227"/>
      <c r="U46" s="227"/>
      <c r="V46" s="227"/>
      <c r="W46" s="227"/>
      <c r="X46" s="227"/>
      <c r="Y46" s="227"/>
      <c r="Z46" s="227"/>
    </row>
    <row r="47" spans="1:34" ht="18.75" customHeight="1">
      <c r="A47" s="227"/>
      <c r="B47" s="198"/>
      <c r="C47" s="199"/>
      <c r="D47" s="197"/>
      <c r="E47" s="197"/>
      <c r="F47" s="197"/>
      <c r="G47" s="197"/>
      <c r="H47" s="197"/>
      <c r="I47" s="197"/>
      <c r="J47" s="197"/>
      <c r="K47" s="197"/>
      <c r="L47" s="197"/>
      <c r="M47" s="197"/>
      <c r="N47" s="197"/>
      <c r="O47" s="498"/>
      <c r="P47" s="227"/>
      <c r="Q47" s="227"/>
      <c r="R47" s="227"/>
      <c r="S47" s="227"/>
      <c r="T47" s="227"/>
      <c r="U47" s="227"/>
      <c r="V47" s="227"/>
      <c r="W47" s="227"/>
      <c r="X47" s="227"/>
      <c r="Y47" s="227"/>
      <c r="Z47" s="227"/>
    </row>
    <row r="48" spans="1:34" ht="22.5" customHeight="1">
      <c r="A48" s="478"/>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row>
    <row r="49" spans="1:26" ht="22.5" customHeight="1">
      <c r="A49" s="478"/>
      <c r="B49" s="478"/>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row>
    <row r="50" spans="1:26" ht="22.5" customHeight="1">
      <c r="A50" s="478"/>
      <c r="B50" s="478"/>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row>
    <row r="51" spans="1:26" ht="22.5" customHeight="1">
      <c r="A51" s="478"/>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row>
    <row r="52" spans="1:26" ht="22.5" customHeight="1">
      <c r="A52" s="478"/>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row>
    <row r="53" spans="1:26" ht="22.5" customHeight="1">
      <c r="A53" s="478"/>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row>
    <row r="54" spans="1:26" ht="22.5" customHeight="1">
      <c r="A54" s="478"/>
      <c r="B54" s="478"/>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row>
    <row r="55" spans="1:26" ht="22.5" customHeight="1">
      <c r="A55" s="478"/>
      <c r="B55" s="478"/>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row>
    <row r="56" spans="1:26" ht="22.5" customHeight="1">
      <c r="A56" s="478"/>
      <c r="B56" s="478"/>
      <c r="C56" s="478"/>
      <c r="D56" s="478"/>
      <c r="E56" s="478"/>
      <c r="F56" s="478"/>
      <c r="G56" s="478"/>
      <c r="H56" s="478"/>
      <c r="I56" s="478"/>
      <c r="J56" s="478"/>
      <c r="K56" s="478"/>
      <c r="L56" s="478"/>
      <c r="M56" s="478"/>
      <c r="N56" s="478"/>
      <c r="O56" s="478"/>
      <c r="P56" s="478"/>
      <c r="Q56" s="478"/>
      <c r="R56" s="478"/>
      <c r="S56" s="478"/>
      <c r="T56" s="478"/>
      <c r="U56" s="478"/>
      <c r="V56" s="478"/>
      <c r="W56" s="478"/>
      <c r="X56" s="478"/>
      <c r="Y56" s="478"/>
      <c r="Z56" s="478"/>
    </row>
    <row r="57" spans="1:26" ht="22.5" customHeight="1">
      <c r="A57" s="478"/>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row>
    <row r="58" spans="1:26" ht="22.5" customHeight="1">
      <c r="A58" s="478"/>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row>
    <row r="59" spans="1:26" ht="22.5" customHeight="1">
      <c r="A59" s="478"/>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row>
    <row r="60" spans="1:26" ht="22.5" customHeight="1">
      <c r="A60" s="478"/>
      <c r="B60" s="478"/>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row>
    <row r="61" spans="1:26" ht="22.5" customHeight="1">
      <c r="A61" s="478"/>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row>
    <row r="62" spans="1:26" ht="22.5" customHeight="1">
      <c r="A62" s="478"/>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row>
    <row r="63" spans="1:26" ht="22.5" customHeight="1">
      <c r="A63" s="478"/>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row>
    <row r="64" spans="1:26" ht="22.5" customHeight="1">
      <c r="A64" s="478"/>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row>
    <row r="65" spans="1:26" ht="22.5" customHeight="1">
      <c r="A65" s="478"/>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row>
    <row r="66" spans="1:26" ht="22.5" customHeight="1">
      <c r="A66" s="478"/>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row>
    <row r="67" spans="1:26" ht="22.5" customHeight="1">
      <c r="A67" s="478"/>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row>
    <row r="68" spans="1:26" ht="22.5" customHeight="1">
      <c r="A68" s="478"/>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row>
    <row r="69" spans="1:26" ht="22.5" customHeight="1">
      <c r="A69" s="478"/>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row>
    <row r="70" spans="1:26" ht="22.5" customHeight="1">
      <c r="A70" s="478"/>
      <c r="B70" s="478"/>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row>
    <row r="71" spans="1:26" ht="22.5" customHeight="1">
      <c r="A71" s="478"/>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row>
    <row r="72" spans="1:26" ht="22.5" customHeight="1">
      <c r="A72" s="478"/>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row>
    <row r="73" spans="1:26" ht="22.5" customHeight="1">
      <c r="A73" s="478"/>
      <c r="B73" s="478"/>
      <c r="C73" s="478"/>
      <c r="D73" s="478"/>
      <c r="E73" s="478"/>
      <c r="F73" s="478"/>
      <c r="G73" s="478"/>
      <c r="H73" s="478"/>
      <c r="I73" s="478"/>
      <c r="J73" s="478"/>
      <c r="K73" s="478"/>
      <c r="L73" s="478"/>
      <c r="M73" s="478"/>
      <c r="N73" s="478"/>
      <c r="O73" s="478"/>
      <c r="P73" s="478"/>
      <c r="Q73" s="478"/>
      <c r="R73" s="478"/>
      <c r="S73" s="478"/>
      <c r="T73" s="478"/>
      <c r="U73" s="478"/>
      <c r="V73" s="478"/>
      <c r="W73" s="478"/>
      <c r="X73" s="478"/>
      <c r="Y73" s="478"/>
      <c r="Z73" s="478"/>
    </row>
    <row r="74" spans="1:26" ht="22.5" customHeight="1">
      <c r="A74" s="478"/>
      <c r="B74" s="478"/>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row>
    <row r="75" spans="1:26" ht="22.5" customHeight="1">
      <c r="A75" s="478"/>
      <c r="B75" s="478"/>
      <c r="C75" s="478"/>
      <c r="D75" s="478"/>
      <c r="E75" s="478"/>
      <c r="F75" s="478"/>
      <c r="G75" s="478"/>
      <c r="H75" s="478"/>
      <c r="I75" s="478"/>
      <c r="J75" s="478"/>
      <c r="K75" s="478"/>
      <c r="L75" s="478"/>
      <c r="M75" s="478"/>
      <c r="N75" s="478"/>
      <c r="O75" s="478"/>
      <c r="P75" s="478"/>
      <c r="Q75" s="478"/>
      <c r="R75" s="478"/>
      <c r="S75" s="478"/>
      <c r="T75" s="478"/>
      <c r="U75" s="478"/>
      <c r="V75" s="478"/>
      <c r="W75" s="478"/>
      <c r="X75" s="478"/>
      <c r="Y75" s="478"/>
      <c r="Z75" s="478"/>
    </row>
    <row r="76" spans="1:26" ht="22.5" customHeight="1">
      <c r="A76" s="478"/>
      <c r="B76" s="478"/>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row>
    <row r="77" spans="1:26" ht="22.5" customHeight="1">
      <c r="A77" s="478"/>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row>
    <row r="78" spans="1:26" ht="22.5" customHeight="1">
      <c r="A78" s="478"/>
      <c r="B78" s="478"/>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row>
    <row r="79" spans="1:26" ht="22.5" customHeight="1">
      <c r="A79" s="478"/>
      <c r="B79" s="478"/>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row>
    <row r="80" spans="1:26" ht="22.5" customHeight="1">
      <c r="A80" s="478"/>
      <c r="O80" s="478"/>
      <c r="P80" s="478"/>
      <c r="Q80" s="478"/>
      <c r="R80" s="478"/>
      <c r="S80" s="478"/>
      <c r="T80" s="478"/>
      <c r="U80" s="478"/>
      <c r="V80" s="478"/>
      <c r="W80" s="478"/>
      <c r="X80" s="478"/>
      <c r="Y80" s="478"/>
      <c r="Z80" s="478"/>
    </row>
    <row r="81" spans="1:26" ht="22.5" customHeight="1">
      <c r="A81" s="478"/>
      <c r="O81" s="478"/>
      <c r="P81" s="478"/>
      <c r="Q81" s="478"/>
      <c r="R81" s="478"/>
      <c r="S81" s="478"/>
      <c r="T81" s="478"/>
      <c r="U81" s="478"/>
      <c r="V81" s="478"/>
      <c r="W81" s="478"/>
      <c r="X81" s="478"/>
      <c r="Y81" s="478"/>
      <c r="Z81" s="478"/>
    </row>
    <row r="82" spans="1:26" ht="22.5" customHeight="1">
      <c r="A82" s="478"/>
      <c r="O82" s="478"/>
      <c r="P82" s="478"/>
      <c r="Q82" s="478"/>
      <c r="R82" s="478"/>
      <c r="S82" s="478"/>
      <c r="T82" s="478"/>
      <c r="U82" s="478"/>
      <c r="V82" s="478"/>
      <c r="W82" s="478"/>
      <c r="X82" s="478"/>
      <c r="Y82" s="478"/>
      <c r="Z82" s="478"/>
    </row>
    <row r="83" spans="1:26" ht="22.5" customHeight="1">
      <c r="A83" s="478"/>
      <c r="O83" s="478"/>
      <c r="P83" s="478"/>
      <c r="Q83" s="478"/>
      <c r="R83" s="478"/>
      <c r="S83" s="478"/>
      <c r="T83" s="478"/>
      <c r="U83" s="478"/>
      <c r="V83" s="478"/>
      <c r="W83" s="478"/>
      <c r="X83" s="478"/>
      <c r="Y83" s="478"/>
      <c r="Z83" s="478"/>
    </row>
    <row r="84" spans="1:26" ht="22.5" customHeight="1">
      <c r="A84" s="478"/>
      <c r="O84" s="478"/>
      <c r="P84" s="478"/>
      <c r="Q84" s="478"/>
      <c r="R84" s="478"/>
      <c r="S84" s="478"/>
      <c r="T84" s="478"/>
      <c r="U84" s="478"/>
      <c r="V84" s="478"/>
      <c r="W84" s="478"/>
      <c r="X84" s="478"/>
      <c r="Y84" s="478"/>
      <c r="Z84" s="478"/>
    </row>
    <row r="85" spans="1:26" ht="22.5" customHeight="1">
      <c r="A85" s="478"/>
      <c r="O85" s="478"/>
      <c r="P85" s="478"/>
      <c r="Q85" s="478"/>
      <c r="R85" s="478"/>
      <c r="S85" s="478"/>
      <c r="T85" s="478"/>
      <c r="U85" s="478"/>
      <c r="V85" s="478"/>
      <c r="W85" s="478"/>
      <c r="X85" s="478"/>
      <c r="Y85" s="478"/>
      <c r="Z85" s="478"/>
    </row>
    <row r="86" spans="1:26" ht="22.5" customHeight="1">
      <c r="A86" s="478"/>
      <c r="O86" s="478"/>
      <c r="P86" s="478"/>
      <c r="Q86" s="478"/>
      <c r="R86" s="478"/>
      <c r="S86" s="478"/>
      <c r="T86" s="478"/>
      <c r="U86" s="478"/>
      <c r="V86" s="478"/>
      <c r="W86" s="478"/>
      <c r="X86" s="478"/>
      <c r="Y86" s="478"/>
      <c r="Z86" s="478"/>
    </row>
    <row r="87" spans="1:26" ht="22.5" customHeight="1">
      <c r="A87" s="478"/>
      <c r="O87" s="478"/>
      <c r="P87" s="478"/>
      <c r="Q87" s="478"/>
      <c r="R87" s="478"/>
      <c r="S87" s="478"/>
      <c r="T87" s="478"/>
      <c r="U87" s="478"/>
      <c r="V87" s="478"/>
      <c r="W87" s="478"/>
      <c r="X87" s="478"/>
      <c r="Y87" s="478"/>
      <c r="Z87" s="478"/>
    </row>
    <row r="88" spans="1:26" ht="22.5" customHeight="1">
      <c r="A88" s="478"/>
      <c r="O88" s="478"/>
      <c r="P88" s="478"/>
      <c r="Q88" s="478"/>
      <c r="R88" s="478"/>
      <c r="S88" s="478"/>
      <c r="T88" s="478"/>
      <c r="U88" s="478"/>
      <c r="V88" s="478"/>
      <c r="W88" s="478"/>
      <c r="X88" s="478"/>
      <c r="Y88" s="478"/>
      <c r="Z88" s="478"/>
    </row>
    <row r="89" spans="1:26" ht="22.5" customHeight="1">
      <c r="A89" s="478"/>
      <c r="O89" s="478"/>
      <c r="P89" s="478"/>
      <c r="Q89" s="478"/>
      <c r="R89" s="478"/>
      <c r="S89" s="478"/>
      <c r="T89" s="478"/>
      <c r="U89" s="478"/>
      <c r="V89" s="478"/>
      <c r="W89" s="478"/>
      <c r="X89" s="478"/>
      <c r="Y89" s="478"/>
      <c r="Z89" s="478"/>
    </row>
    <row r="90" spans="1:26" ht="22.5" customHeight="1">
      <c r="A90" s="478"/>
      <c r="O90" s="478"/>
      <c r="P90" s="478"/>
      <c r="Q90" s="478"/>
      <c r="R90" s="478"/>
      <c r="S90" s="478"/>
      <c r="T90" s="478"/>
      <c r="U90" s="478"/>
      <c r="V90" s="478"/>
      <c r="W90" s="478"/>
      <c r="X90" s="478"/>
      <c r="Y90" s="478"/>
      <c r="Z90" s="478"/>
    </row>
    <row r="91" spans="1:26" ht="22.5" customHeight="1">
      <c r="A91" s="478"/>
      <c r="O91" s="478"/>
      <c r="P91" s="478"/>
      <c r="Q91" s="478"/>
      <c r="R91" s="478"/>
      <c r="S91" s="478"/>
      <c r="T91" s="478"/>
      <c r="U91" s="478"/>
      <c r="V91" s="478"/>
      <c r="W91" s="478"/>
      <c r="X91" s="478"/>
      <c r="Y91" s="478"/>
      <c r="Z91" s="478"/>
    </row>
    <row r="92" spans="1:26" ht="22.5" customHeight="1">
      <c r="A92" s="478"/>
      <c r="O92" s="478"/>
      <c r="P92" s="478"/>
      <c r="Q92" s="478"/>
      <c r="R92" s="478"/>
      <c r="S92" s="478"/>
      <c r="T92" s="478"/>
      <c r="U92" s="478"/>
      <c r="V92" s="478"/>
      <c r="W92" s="478"/>
      <c r="X92" s="478"/>
      <c r="Y92" s="478"/>
      <c r="Z92" s="478"/>
    </row>
    <row r="93" spans="1:26" ht="22.5" customHeight="1">
      <c r="A93" s="478"/>
      <c r="O93" s="478"/>
      <c r="P93" s="478"/>
      <c r="Q93" s="478"/>
      <c r="R93" s="478"/>
      <c r="S93" s="478"/>
      <c r="T93" s="478"/>
      <c r="U93" s="478"/>
      <c r="V93" s="478"/>
      <c r="W93" s="478"/>
      <c r="X93" s="478"/>
      <c r="Y93" s="478"/>
      <c r="Z93" s="478"/>
    </row>
    <row r="94" spans="1:26" ht="22.5" customHeight="1">
      <c r="A94" s="478"/>
      <c r="O94" s="478"/>
      <c r="P94" s="478"/>
      <c r="Q94" s="478"/>
      <c r="R94" s="478"/>
      <c r="S94" s="478"/>
      <c r="T94" s="478"/>
      <c r="U94" s="478"/>
      <c r="V94" s="478"/>
      <c r="W94" s="478"/>
      <c r="X94" s="478"/>
      <c r="Y94" s="478"/>
      <c r="Z94" s="478"/>
    </row>
    <row r="95" spans="1:26" ht="22.5" customHeight="1">
      <c r="A95" s="478"/>
      <c r="O95" s="478"/>
      <c r="P95" s="478"/>
      <c r="Q95" s="478"/>
      <c r="R95" s="478"/>
      <c r="S95" s="478"/>
      <c r="T95" s="478"/>
      <c r="U95" s="478"/>
      <c r="V95" s="478"/>
      <c r="W95" s="478"/>
      <c r="X95" s="478"/>
      <c r="Y95" s="478"/>
      <c r="Z95" s="478"/>
    </row>
    <row r="96" spans="1:26" ht="22.5" customHeight="1">
      <c r="A96" s="478"/>
      <c r="O96" s="478"/>
      <c r="P96" s="478"/>
      <c r="Q96" s="478"/>
      <c r="R96" s="478"/>
      <c r="S96" s="478"/>
      <c r="T96" s="478"/>
      <c r="U96" s="478"/>
      <c r="V96" s="478"/>
      <c r="W96" s="478"/>
      <c r="X96" s="478"/>
      <c r="Y96" s="478"/>
      <c r="Z96" s="478"/>
    </row>
    <row r="97" spans="1:26" ht="22.5" customHeight="1">
      <c r="A97" s="478"/>
      <c r="O97" s="478"/>
      <c r="P97" s="478"/>
      <c r="Q97" s="478"/>
      <c r="R97" s="478"/>
      <c r="S97" s="478"/>
      <c r="T97" s="478"/>
      <c r="U97" s="478"/>
      <c r="V97" s="478"/>
      <c r="W97" s="478"/>
      <c r="X97" s="478"/>
      <c r="Y97" s="478"/>
      <c r="Z97" s="478"/>
    </row>
    <row r="98" spans="1:26" ht="22.5" customHeight="1">
      <c r="A98" s="478"/>
      <c r="O98" s="478"/>
      <c r="P98" s="478"/>
      <c r="Q98" s="478"/>
      <c r="R98" s="478"/>
      <c r="S98" s="478"/>
      <c r="T98" s="478"/>
      <c r="U98" s="478"/>
      <c r="V98" s="478"/>
      <c r="W98" s="478"/>
      <c r="X98" s="478"/>
      <c r="Y98" s="478"/>
      <c r="Z98" s="478"/>
    </row>
    <row r="99" spans="1:26" ht="22.5" customHeight="1">
      <c r="A99" s="478"/>
      <c r="O99" s="478"/>
      <c r="P99" s="478"/>
      <c r="Q99" s="478"/>
      <c r="R99" s="478"/>
      <c r="S99" s="478"/>
      <c r="T99" s="478"/>
      <c r="U99" s="478"/>
      <c r="V99" s="478"/>
      <c r="W99" s="478"/>
      <c r="X99" s="478"/>
      <c r="Y99" s="478"/>
      <c r="Z99" s="478"/>
    </row>
    <row r="100" spans="1:26" ht="22.5" customHeight="1">
      <c r="A100" s="478"/>
      <c r="O100" s="478"/>
      <c r="P100" s="478"/>
      <c r="Q100" s="478"/>
      <c r="R100" s="478"/>
      <c r="S100" s="478"/>
      <c r="T100" s="478"/>
      <c r="U100" s="478"/>
      <c r="V100" s="478"/>
      <c r="W100" s="478"/>
      <c r="X100" s="478"/>
      <c r="Y100" s="478"/>
      <c r="Z100" s="478"/>
    </row>
    <row r="101" spans="1:26" ht="22.5" customHeight="1">
      <c r="A101" s="478"/>
      <c r="O101" s="478"/>
      <c r="P101" s="478"/>
      <c r="Q101" s="478"/>
      <c r="R101" s="478"/>
      <c r="S101" s="478"/>
      <c r="T101" s="478"/>
      <c r="U101" s="478"/>
      <c r="V101" s="478"/>
      <c r="W101" s="478"/>
      <c r="X101" s="478"/>
      <c r="Y101" s="478"/>
      <c r="Z101" s="478"/>
    </row>
    <row r="102" spans="1:26" ht="22.5" customHeight="1">
      <c r="A102" s="478"/>
      <c r="O102" s="478"/>
      <c r="P102" s="478"/>
      <c r="Q102" s="478"/>
      <c r="R102" s="478"/>
      <c r="S102" s="478"/>
      <c r="T102" s="478"/>
      <c r="U102" s="478"/>
      <c r="V102" s="478"/>
      <c r="W102" s="478"/>
      <c r="X102" s="478"/>
      <c r="Y102" s="478"/>
      <c r="Z102" s="478"/>
    </row>
    <row r="103" spans="1:26" ht="22.5" customHeight="1">
      <c r="A103" s="478"/>
      <c r="O103" s="478"/>
      <c r="P103" s="478"/>
      <c r="Q103" s="478"/>
      <c r="R103" s="478"/>
      <c r="S103" s="478"/>
      <c r="T103" s="478"/>
      <c r="U103" s="478"/>
      <c r="V103" s="478"/>
      <c r="W103" s="478"/>
      <c r="X103" s="478"/>
      <c r="Y103" s="478"/>
      <c r="Z103" s="478"/>
    </row>
    <row r="104" spans="1:26" ht="22.5" customHeight="1">
      <c r="A104" s="478"/>
      <c r="O104" s="478"/>
      <c r="P104" s="478"/>
      <c r="Q104" s="478"/>
      <c r="R104" s="478"/>
      <c r="S104" s="478"/>
      <c r="T104" s="478"/>
      <c r="U104" s="478"/>
      <c r="V104" s="478"/>
      <c r="W104" s="478"/>
      <c r="X104" s="478"/>
      <c r="Y104" s="478"/>
      <c r="Z104" s="478"/>
    </row>
    <row r="105" spans="1:26" ht="22.5" customHeight="1">
      <c r="A105" s="478"/>
      <c r="O105" s="478"/>
      <c r="P105" s="478"/>
      <c r="Q105" s="478"/>
      <c r="R105" s="478"/>
      <c r="S105" s="478"/>
      <c r="T105" s="478"/>
      <c r="U105" s="478"/>
      <c r="V105" s="478"/>
      <c r="W105" s="478"/>
      <c r="X105" s="478"/>
      <c r="Y105" s="478"/>
      <c r="Z105" s="478"/>
    </row>
    <row r="106" spans="1:26" ht="22.5" customHeight="1">
      <c r="A106" s="478"/>
      <c r="O106" s="478"/>
      <c r="P106" s="478"/>
      <c r="Q106" s="478"/>
      <c r="R106" s="478"/>
      <c r="S106" s="478"/>
      <c r="T106" s="478"/>
      <c r="U106" s="478"/>
      <c r="V106" s="478"/>
      <c r="W106" s="478"/>
      <c r="X106" s="478"/>
      <c r="Y106" s="478"/>
      <c r="Z106" s="478"/>
    </row>
    <row r="107" spans="1:26" ht="22.5" customHeight="1">
      <c r="A107" s="478"/>
      <c r="O107" s="478"/>
      <c r="P107" s="478"/>
      <c r="Q107" s="478"/>
      <c r="R107" s="478"/>
      <c r="S107" s="478"/>
      <c r="T107" s="478"/>
      <c r="U107" s="478"/>
      <c r="V107" s="478"/>
      <c r="W107" s="478"/>
      <c r="X107" s="478"/>
      <c r="Y107" s="478"/>
      <c r="Z107" s="478"/>
    </row>
    <row r="108" spans="1:26" ht="22.5" customHeight="1">
      <c r="A108" s="478"/>
      <c r="O108" s="478"/>
      <c r="P108" s="478"/>
      <c r="Q108" s="478"/>
      <c r="R108" s="478"/>
      <c r="S108" s="478"/>
      <c r="T108" s="478"/>
      <c r="U108" s="478"/>
      <c r="V108" s="478"/>
      <c r="W108" s="478"/>
      <c r="X108" s="478"/>
      <c r="Y108" s="478"/>
      <c r="Z108" s="478"/>
    </row>
    <row r="109" spans="1:26" ht="22.5" customHeight="1">
      <c r="A109" s="478"/>
      <c r="O109" s="478"/>
      <c r="P109" s="478"/>
      <c r="Q109" s="478"/>
      <c r="R109" s="478"/>
      <c r="S109" s="478"/>
      <c r="T109" s="478"/>
      <c r="U109" s="478"/>
      <c r="V109" s="478"/>
      <c r="W109" s="478"/>
      <c r="X109" s="478"/>
      <c r="Y109" s="478"/>
      <c r="Z109" s="478"/>
    </row>
    <row r="110" spans="1:26" ht="22.5" customHeight="1">
      <c r="A110" s="478"/>
      <c r="O110" s="478"/>
      <c r="P110" s="478"/>
      <c r="Q110" s="478"/>
      <c r="R110" s="478"/>
      <c r="S110" s="478"/>
      <c r="T110" s="478"/>
      <c r="U110" s="478"/>
      <c r="V110" s="478"/>
      <c r="W110" s="478"/>
      <c r="X110" s="478"/>
      <c r="Y110" s="478"/>
      <c r="Z110" s="478"/>
    </row>
    <row r="111" spans="1:26" ht="22.5" customHeight="1">
      <c r="A111" s="478"/>
      <c r="O111" s="478"/>
      <c r="P111" s="478"/>
      <c r="Q111" s="478"/>
      <c r="R111" s="478"/>
      <c r="S111" s="478"/>
      <c r="T111" s="478"/>
      <c r="U111" s="478"/>
      <c r="V111" s="478"/>
      <c r="W111" s="478"/>
      <c r="X111" s="478"/>
      <c r="Y111" s="478"/>
      <c r="Z111" s="478"/>
    </row>
    <row r="112" spans="1:26" ht="22.5" customHeight="1">
      <c r="A112" s="478"/>
      <c r="O112" s="478"/>
      <c r="P112" s="478"/>
      <c r="Q112" s="478"/>
      <c r="R112" s="478"/>
      <c r="S112" s="478"/>
      <c r="T112" s="478"/>
      <c r="U112" s="478"/>
      <c r="V112" s="478"/>
      <c r="W112" s="478"/>
      <c r="X112" s="478"/>
      <c r="Y112" s="478"/>
      <c r="Z112" s="478"/>
    </row>
    <row r="113" spans="1:26" ht="22.5" customHeight="1">
      <c r="A113" s="478"/>
      <c r="O113" s="478"/>
      <c r="P113" s="478"/>
      <c r="Q113" s="478"/>
      <c r="R113" s="478"/>
      <c r="S113" s="478"/>
      <c r="T113" s="478"/>
      <c r="U113" s="478"/>
      <c r="V113" s="478"/>
      <c r="W113" s="478"/>
      <c r="X113" s="478"/>
      <c r="Y113" s="478"/>
      <c r="Z113" s="478"/>
    </row>
    <row r="114" spans="1:26" ht="22.5" customHeight="1">
      <c r="A114" s="478"/>
      <c r="O114" s="478"/>
      <c r="P114" s="478"/>
      <c r="Q114" s="478"/>
      <c r="R114" s="478"/>
      <c r="S114" s="478"/>
      <c r="T114" s="478"/>
      <c r="U114" s="478"/>
      <c r="V114" s="478"/>
      <c r="W114" s="478"/>
      <c r="X114" s="478"/>
      <c r="Y114" s="478"/>
      <c r="Z114" s="478"/>
    </row>
    <row r="115" spans="1:26" ht="22.5" customHeight="1">
      <c r="A115" s="478"/>
      <c r="O115" s="478"/>
      <c r="P115" s="478"/>
      <c r="Q115" s="478"/>
      <c r="R115" s="478"/>
      <c r="S115" s="478"/>
      <c r="T115" s="478"/>
      <c r="U115" s="478"/>
      <c r="V115" s="478"/>
      <c r="W115" s="478"/>
      <c r="X115" s="478"/>
      <c r="Y115" s="478"/>
      <c r="Z115" s="478"/>
    </row>
    <row r="116" spans="1:26" ht="22.5" customHeight="1">
      <c r="A116" s="478"/>
      <c r="O116" s="478"/>
      <c r="P116" s="478"/>
      <c r="Q116" s="478"/>
      <c r="R116" s="478"/>
      <c r="S116" s="478"/>
      <c r="T116" s="478"/>
      <c r="U116" s="478"/>
      <c r="V116" s="478"/>
      <c r="W116" s="478"/>
      <c r="X116" s="478"/>
      <c r="Y116" s="478"/>
      <c r="Z116" s="478"/>
    </row>
    <row r="117" spans="1:26" ht="22.5" customHeight="1">
      <c r="A117" s="478"/>
      <c r="O117" s="478"/>
      <c r="P117" s="478"/>
      <c r="Q117" s="478"/>
      <c r="R117" s="478"/>
      <c r="S117" s="478"/>
      <c r="T117" s="478"/>
      <c r="U117" s="478"/>
      <c r="V117" s="478"/>
      <c r="W117" s="478"/>
      <c r="X117" s="478"/>
      <c r="Y117" s="478"/>
      <c r="Z117" s="478"/>
    </row>
    <row r="118" spans="1:26" ht="22.5" customHeight="1">
      <c r="A118" s="478"/>
      <c r="O118" s="478"/>
      <c r="P118" s="478"/>
      <c r="Q118" s="478"/>
      <c r="R118" s="478"/>
      <c r="S118" s="478"/>
      <c r="T118" s="478"/>
      <c r="U118" s="478"/>
      <c r="V118" s="478"/>
      <c r="W118" s="478"/>
      <c r="X118" s="478"/>
      <c r="Y118" s="478"/>
      <c r="Z118" s="478"/>
    </row>
    <row r="119" spans="1:26" ht="22.5" customHeight="1">
      <c r="A119" s="478"/>
      <c r="O119" s="478"/>
      <c r="P119" s="478"/>
      <c r="Q119" s="478"/>
      <c r="R119" s="478"/>
      <c r="S119" s="478"/>
      <c r="T119" s="478"/>
      <c r="U119" s="478"/>
      <c r="V119" s="478"/>
      <c r="W119" s="478"/>
      <c r="X119" s="478"/>
      <c r="Y119" s="478"/>
      <c r="Z119" s="478"/>
    </row>
    <row r="120" spans="1:26" ht="22.5" customHeight="1">
      <c r="A120" s="478"/>
      <c r="O120" s="478"/>
      <c r="P120" s="478"/>
      <c r="Q120" s="478"/>
      <c r="R120" s="478"/>
      <c r="S120" s="478"/>
      <c r="T120" s="478"/>
      <c r="U120" s="478"/>
      <c r="V120" s="478"/>
      <c r="W120" s="478"/>
      <c r="X120" s="478"/>
      <c r="Y120" s="478"/>
      <c r="Z120" s="478"/>
    </row>
    <row r="121" spans="1:26" ht="22.5" customHeight="1">
      <c r="A121" s="478"/>
      <c r="O121" s="478"/>
      <c r="P121" s="478"/>
      <c r="Q121" s="478"/>
      <c r="R121" s="478"/>
      <c r="S121" s="478"/>
      <c r="T121" s="478"/>
      <c r="U121" s="478"/>
      <c r="V121" s="478"/>
      <c r="W121" s="478"/>
      <c r="X121" s="478"/>
      <c r="Y121" s="478"/>
      <c r="Z121" s="478"/>
    </row>
    <row r="122" spans="1:26" ht="22.5" customHeight="1">
      <c r="A122" s="478"/>
      <c r="O122" s="478"/>
      <c r="P122" s="478"/>
      <c r="Q122" s="478"/>
      <c r="R122" s="478"/>
      <c r="S122" s="478"/>
      <c r="T122" s="478"/>
      <c r="U122" s="478"/>
      <c r="V122" s="478"/>
      <c r="W122" s="478"/>
      <c r="X122" s="478"/>
      <c r="Y122" s="478"/>
      <c r="Z122" s="478"/>
    </row>
    <row r="123" spans="1:26" ht="22.5" customHeight="1">
      <c r="A123" s="478"/>
      <c r="O123" s="478"/>
      <c r="P123" s="478"/>
      <c r="Q123" s="478"/>
      <c r="R123" s="478"/>
      <c r="S123" s="478"/>
      <c r="T123" s="478"/>
      <c r="U123" s="478"/>
      <c r="V123" s="478"/>
      <c r="W123" s="478"/>
      <c r="X123" s="478"/>
      <c r="Y123" s="478"/>
      <c r="Z123" s="478"/>
    </row>
    <row r="124" spans="1:26" ht="22.5" customHeight="1">
      <c r="A124" s="478"/>
      <c r="O124" s="478"/>
      <c r="P124" s="478"/>
      <c r="Q124" s="478"/>
      <c r="R124" s="478"/>
      <c r="S124" s="478"/>
      <c r="T124" s="478"/>
      <c r="U124" s="478"/>
      <c r="V124" s="478"/>
      <c r="W124" s="478"/>
      <c r="X124" s="478"/>
      <c r="Y124" s="478"/>
      <c r="Z124" s="478"/>
    </row>
    <row r="125" spans="1:26" ht="22.5" customHeight="1">
      <c r="A125" s="478"/>
      <c r="O125" s="478"/>
      <c r="P125" s="478"/>
      <c r="Q125" s="478"/>
      <c r="R125" s="478"/>
      <c r="S125" s="478"/>
      <c r="T125" s="478"/>
      <c r="U125" s="478"/>
      <c r="V125" s="478"/>
      <c r="W125" s="478"/>
      <c r="X125" s="478"/>
      <c r="Y125" s="478"/>
      <c r="Z125" s="478"/>
    </row>
    <row r="126" spans="1:26" ht="22.5" customHeight="1">
      <c r="A126" s="478"/>
      <c r="O126" s="478"/>
      <c r="P126" s="478"/>
      <c r="Q126" s="478"/>
      <c r="R126" s="478"/>
      <c r="S126" s="478"/>
      <c r="T126" s="478"/>
      <c r="U126" s="478"/>
      <c r="V126" s="478"/>
      <c r="W126" s="478"/>
      <c r="X126" s="478"/>
      <c r="Y126" s="478"/>
      <c r="Z126" s="478"/>
    </row>
    <row r="127" spans="1:26" ht="22.5" customHeight="1">
      <c r="A127" s="478"/>
      <c r="O127" s="478"/>
      <c r="P127" s="478"/>
      <c r="Q127" s="478"/>
      <c r="R127" s="478"/>
      <c r="S127" s="478"/>
      <c r="T127" s="478"/>
      <c r="U127" s="478"/>
      <c r="V127" s="478"/>
      <c r="W127" s="478"/>
      <c r="X127" s="478"/>
      <c r="Y127" s="478"/>
      <c r="Z127" s="478"/>
    </row>
    <row r="128" spans="1:26" ht="22.5" customHeight="1">
      <c r="A128" s="478"/>
      <c r="O128" s="478"/>
      <c r="P128" s="478"/>
      <c r="Q128" s="478"/>
      <c r="R128" s="478"/>
      <c r="S128" s="478"/>
      <c r="T128" s="478"/>
      <c r="U128" s="478"/>
      <c r="V128" s="478"/>
      <c r="W128" s="478"/>
      <c r="X128" s="478"/>
      <c r="Y128" s="478"/>
      <c r="Z128" s="478"/>
    </row>
    <row r="129" spans="1:26" ht="22.5" customHeight="1">
      <c r="A129" s="478"/>
      <c r="O129" s="478"/>
      <c r="P129" s="478"/>
      <c r="Q129" s="478"/>
      <c r="R129" s="478"/>
      <c r="S129" s="478"/>
      <c r="T129" s="478"/>
      <c r="U129" s="478"/>
      <c r="V129" s="478"/>
      <c r="W129" s="478"/>
      <c r="X129" s="478"/>
      <c r="Y129" s="478"/>
      <c r="Z129" s="478"/>
    </row>
    <row r="130" spans="1:26" ht="22.5" customHeight="1">
      <c r="A130" s="478"/>
      <c r="O130" s="478"/>
      <c r="P130" s="478"/>
      <c r="Q130" s="478"/>
      <c r="R130" s="478"/>
      <c r="S130" s="478"/>
      <c r="T130" s="478"/>
      <c r="U130" s="478"/>
      <c r="V130" s="478"/>
      <c r="W130" s="478"/>
      <c r="X130" s="478"/>
      <c r="Y130" s="478"/>
      <c r="Z130" s="478"/>
    </row>
    <row r="131" spans="1:26" ht="22.5" customHeight="1">
      <c r="A131" s="478"/>
      <c r="O131" s="478"/>
      <c r="P131" s="478"/>
      <c r="Q131" s="478"/>
      <c r="R131" s="478"/>
      <c r="S131" s="478"/>
      <c r="T131" s="478"/>
      <c r="U131" s="478"/>
      <c r="V131" s="478"/>
      <c r="W131" s="478"/>
      <c r="X131" s="478"/>
      <c r="Y131" s="478"/>
      <c r="Z131" s="478"/>
    </row>
    <row r="132" spans="1:26" ht="22.5" customHeight="1">
      <c r="A132" s="478"/>
      <c r="O132" s="478"/>
      <c r="P132" s="478"/>
      <c r="Q132" s="478"/>
      <c r="R132" s="478"/>
      <c r="S132" s="478"/>
      <c r="T132" s="478"/>
      <c r="U132" s="478"/>
      <c r="V132" s="478"/>
      <c r="W132" s="478"/>
      <c r="X132" s="478"/>
      <c r="Y132" s="478"/>
      <c r="Z132" s="478"/>
    </row>
    <row r="133" spans="1:26" ht="22.5" customHeight="1">
      <c r="A133" s="478"/>
      <c r="O133" s="478"/>
      <c r="P133" s="478"/>
      <c r="Q133" s="478"/>
      <c r="R133" s="478"/>
      <c r="S133" s="478"/>
      <c r="T133" s="478"/>
      <c r="U133" s="478"/>
      <c r="V133" s="478"/>
      <c r="W133" s="478"/>
      <c r="X133" s="478"/>
      <c r="Y133" s="478"/>
      <c r="Z133" s="478"/>
    </row>
    <row r="134" spans="1:26" ht="22.5" customHeight="1">
      <c r="A134" s="478"/>
      <c r="O134" s="478"/>
      <c r="P134" s="478"/>
      <c r="Q134" s="478"/>
      <c r="R134" s="478"/>
      <c r="S134" s="478"/>
      <c r="T134" s="478"/>
      <c r="U134" s="478"/>
      <c r="V134" s="478"/>
      <c r="W134" s="478"/>
      <c r="X134" s="478"/>
      <c r="Y134" s="478"/>
      <c r="Z134" s="478"/>
    </row>
    <row r="135" spans="1:26" ht="22.5" customHeight="1">
      <c r="A135" s="478"/>
      <c r="O135" s="478"/>
      <c r="P135" s="478"/>
      <c r="Q135" s="478"/>
      <c r="R135" s="478"/>
      <c r="S135" s="478"/>
      <c r="T135" s="478"/>
      <c r="U135" s="478"/>
      <c r="V135" s="478"/>
      <c r="W135" s="478"/>
      <c r="X135" s="478"/>
      <c r="Y135" s="478"/>
      <c r="Z135" s="478"/>
    </row>
    <row r="136" spans="1:26" ht="22.5" customHeight="1">
      <c r="A136" s="478"/>
      <c r="O136" s="478"/>
      <c r="P136" s="478"/>
      <c r="Q136" s="478"/>
      <c r="R136" s="478"/>
      <c r="S136" s="478"/>
      <c r="T136" s="478"/>
      <c r="U136" s="478"/>
      <c r="V136" s="478"/>
      <c r="W136" s="478"/>
      <c r="X136" s="478"/>
      <c r="Y136" s="478"/>
      <c r="Z136" s="478"/>
    </row>
    <row r="137" spans="1:26" ht="22.5" customHeight="1">
      <c r="A137" s="478"/>
      <c r="O137" s="478"/>
      <c r="P137" s="478"/>
      <c r="Q137" s="478"/>
      <c r="R137" s="478"/>
      <c r="S137" s="478"/>
      <c r="T137" s="478"/>
      <c r="U137" s="478"/>
      <c r="V137" s="478"/>
      <c r="W137" s="478"/>
      <c r="X137" s="478"/>
      <c r="Y137" s="478"/>
      <c r="Z137" s="478"/>
    </row>
    <row r="138" spans="1:26" ht="22.5" customHeight="1">
      <c r="A138" s="478"/>
      <c r="O138" s="478"/>
      <c r="P138" s="478"/>
      <c r="Q138" s="478"/>
      <c r="R138" s="478"/>
      <c r="S138" s="478"/>
      <c r="T138" s="478"/>
      <c r="U138" s="478"/>
      <c r="V138" s="478"/>
      <c r="W138" s="478"/>
      <c r="X138" s="478"/>
      <c r="Y138" s="478"/>
      <c r="Z138" s="478"/>
    </row>
    <row r="139" spans="1:26" ht="22.5" customHeight="1">
      <c r="A139" s="478"/>
      <c r="O139" s="478"/>
      <c r="P139" s="478"/>
      <c r="Q139" s="478"/>
      <c r="R139" s="478"/>
      <c r="S139" s="478"/>
      <c r="T139" s="478"/>
      <c r="U139" s="478"/>
      <c r="V139" s="478"/>
      <c r="W139" s="478"/>
      <c r="X139" s="478"/>
      <c r="Y139" s="478"/>
      <c r="Z139" s="478"/>
    </row>
    <row r="140" spans="1:26" ht="22.5" customHeight="1">
      <c r="A140" s="478"/>
      <c r="O140" s="478"/>
      <c r="P140" s="478"/>
      <c r="Q140" s="478"/>
      <c r="R140" s="478"/>
      <c r="S140" s="478"/>
      <c r="T140" s="478"/>
      <c r="U140" s="478"/>
      <c r="V140" s="478"/>
      <c r="W140" s="478"/>
      <c r="X140" s="478"/>
      <c r="Y140" s="478"/>
      <c r="Z140" s="478"/>
    </row>
    <row r="141" spans="1:26" ht="22.5" customHeight="1">
      <c r="A141" s="478"/>
      <c r="O141" s="478"/>
      <c r="P141" s="478"/>
      <c r="Q141" s="478"/>
      <c r="R141" s="478"/>
      <c r="S141" s="478"/>
      <c r="T141" s="478"/>
      <c r="U141" s="478"/>
      <c r="V141" s="478"/>
      <c r="W141" s="478"/>
      <c r="X141" s="478"/>
      <c r="Y141" s="478"/>
      <c r="Z141" s="478"/>
    </row>
    <row r="142" spans="1:26" ht="22.5" customHeight="1">
      <c r="A142" s="478"/>
      <c r="O142" s="478"/>
      <c r="P142" s="478"/>
      <c r="Q142" s="478"/>
      <c r="R142" s="478"/>
      <c r="S142" s="478"/>
      <c r="T142" s="478"/>
      <c r="U142" s="478"/>
      <c r="V142" s="478"/>
      <c r="W142" s="478"/>
      <c r="X142" s="478"/>
      <c r="Y142" s="478"/>
      <c r="Z142" s="478"/>
    </row>
    <row r="143" spans="1:26" ht="22.5" customHeight="1">
      <c r="A143" s="478"/>
      <c r="O143" s="478"/>
      <c r="P143" s="478"/>
      <c r="Q143" s="478"/>
      <c r="R143" s="478"/>
      <c r="S143" s="478"/>
      <c r="T143" s="478"/>
      <c r="U143" s="478"/>
      <c r="V143" s="478"/>
      <c r="W143" s="478"/>
      <c r="X143" s="478"/>
      <c r="Y143" s="478"/>
      <c r="Z143" s="478"/>
    </row>
    <row r="144" spans="1:26" ht="22.5" customHeight="1">
      <c r="A144" s="478"/>
      <c r="O144" s="478"/>
      <c r="P144" s="478"/>
      <c r="Q144" s="478"/>
      <c r="R144" s="478"/>
      <c r="S144" s="478"/>
      <c r="T144" s="478"/>
      <c r="U144" s="478"/>
      <c r="V144" s="478"/>
      <c r="W144" s="478"/>
      <c r="X144" s="478"/>
      <c r="Y144" s="478"/>
      <c r="Z144" s="478"/>
    </row>
    <row r="145" spans="1:26" ht="22.5" customHeight="1">
      <c r="A145" s="478"/>
      <c r="O145" s="478"/>
      <c r="P145" s="478"/>
      <c r="Q145" s="478"/>
      <c r="R145" s="478"/>
      <c r="S145" s="478"/>
      <c r="T145" s="478"/>
      <c r="U145" s="478"/>
      <c r="V145" s="478"/>
      <c r="W145" s="478"/>
      <c r="X145" s="478"/>
      <c r="Y145" s="478"/>
      <c r="Z145" s="478"/>
    </row>
    <row r="146" spans="1:26" ht="22.5" customHeight="1">
      <c r="A146" s="478"/>
      <c r="O146" s="478"/>
      <c r="P146" s="478"/>
      <c r="Q146" s="478"/>
      <c r="R146" s="478"/>
      <c r="S146" s="478"/>
      <c r="T146" s="478"/>
      <c r="U146" s="478"/>
      <c r="V146" s="478"/>
      <c r="W146" s="478"/>
      <c r="X146" s="478"/>
      <c r="Y146" s="478"/>
      <c r="Z146" s="478"/>
    </row>
    <row r="147" spans="1:26" ht="22.5" customHeight="1">
      <c r="A147" s="478"/>
      <c r="O147" s="478"/>
      <c r="P147" s="478"/>
      <c r="Q147" s="478"/>
      <c r="R147" s="478"/>
      <c r="S147" s="478"/>
      <c r="T147" s="478"/>
      <c r="U147" s="478"/>
      <c r="V147" s="478"/>
      <c r="W147" s="478"/>
      <c r="X147" s="478"/>
      <c r="Y147" s="478"/>
      <c r="Z147" s="478"/>
    </row>
    <row r="148" spans="1:26" ht="22.5" customHeight="1">
      <c r="A148" s="478"/>
      <c r="O148" s="478"/>
      <c r="P148" s="478"/>
      <c r="Q148" s="478"/>
      <c r="R148" s="478"/>
      <c r="S148" s="478"/>
      <c r="T148" s="478"/>
      <c r="U148" s="478"/>
      <c r="V148" s="478"/>
      <c r="W148" s="478"/>
      <c r="X148" s="478"/>
      <c r="Y148" s="478"/>
      <c r="Z148" s="478"/>
    </row>
    <row r="149" spans="1:26" ht="22.5" customHeight="1">
      <c r="A149" s="478"/>
      <c r="O149" s="478"/>
      <c r="P149" s="478"/>
      <c r="Q149" s="478"/>
      <c r="R149" s="478"/>
      <c r="S149" s="478"/>
      <c r="T149" s="478"/>
      <c r="U149" s="478"/>
      <c r="V149" s="478"/>
      <c r="W149" s="478"/>
      <c r="X149" s="478"/>
      <c r="Y149" s="478"/>
      <c r="Z149" s="478"/>
    </row>
    <row r="150" spans="1:26" ht="22.5" customHeight="1">
      <c r="A150" s="478"/>
      <c r="O150" s="478"/>
      <c r="P150" s="478"/>
      <c r="Q150" s="478"/>
      <c r="R150" s="478"/>
      <c r="S150" s="478"/>
      <c r="T150" s="478"/>
      <c r="U150" s="478"/>
      <c r="V150" s="478"/>
      <c r="W150" s="478"/>
      <c r="X150" s="478"/>
      <c r="Y150" s="478"/>
      <c r="Z150" s="478"/>
    </row>
    <row r="151" spans="1:26" ht="22.5" customHeight="1">
      <c r="A151" s="478"/>
      <c r="O151" s="478"/>
      <c r="P151" s="478"/>
      <c r="Q151" s="478"/>
      <c r="R151" s="478"/>
      <c r="S151" s="478"/>
      <c r="T151" s="478"/>
      <c r="U151" s="478"/>
      <c r="V151" s="478"/>
      <c r="W151" s="478"/>
      <c r="X151" s="478"/>
      <c r="Y151" s="478"/>
      <c r="Z151" s="478"/>
    </row>
    <row r="152" spans="1:26" ht="22.5" customHeight="1">
      <c r="A152" s="478"/>
      <c r="O152" s="478"/>
      <c r="P152" s="478"/>
      <c r="Q152" s="478"/>
      <c r="R152" s="478"/>
      <c r="S152" s="478"/>
      <c r="T152" s="478"/>
      <c r="U152" s="478"/>
      <c r="V152" s="478"/>
      <c r="W152" s="478"/>
      <c r="X152" s="478"/>
      <c r="Y152" s="478"/>
      <c r="Z152" s="478"/>
    </row>
    <row r="153" spans="1:26" ht="22.5" customHeight="1">
      <c r="A153" s="478"/>
      <c r="O153" s="478"/>
      <c r="P153" s="478"/>
      <c r="Q153" s="478"/>
      <c r="R153" s="478"/>
      <c r="S153" s="478"/>
      <c r="T153" s="478"/>
      <c r="U153" s="478"/>
      <c r="V153" s="478"/>
      <c r="W153" s="478"/>
      <c r="X153" s="478"/>
      <c r="Y153" s="478"/>
      <c r="Z153" s="478"/>
    </row>
    <row r="154" spans="1:26" ht="22.5" customHeight="1">
      <c r="A154" s="478"/>
      <c r="O154" s="478"/>
      <c r="P154" s="478"/>
      <c r="Q154" s="478"/>
      <c r="R154" s="478"/>
      <c r="S154" s="478"/>
      <c r="T154" s="478"/>
      <c r="U154" s="478"/>
      <c r="V154" s="478"/>
      <c r="W154" s="478"/>
      <c r="X154" s="478"/>
      <c r="Y154" s="478"/>
      <c r="Z154" s="478"/>
    </row>
    <row r="155" spans="1:26" ht="22.5" customHeight="1">
      <c r="A155" s="478"/>
      <c r="O155" s="478"/>
      <c r="P155" s="478"/>
      <c r="Q155" s="478"/>
      <c r="R155" s="478"/>
      <c r="S155" s="478"/>
      <c r="T155" s="478"/>
      <c r="U155" s="478"/>
      <c r="V155" s="478"/>
      <c r="W155" s="478"/>
      <c r="X155" s="478"/>
      <c r="Y155" s="478"/>
      <c r="Z155" s="478"/>
    </row>
    <row r="156" spans="1:26" ht="22.5" customHeight="1">
      <c r="A156" s="478"/>
      <c r="O156" s="478"/>
      <c r="P156" s="478"/>
      <c r="Q156" s="478"/>
      <c r="R156" s="478"/>
      <c r="S156" s="478"/>
      <c r="T156" s="478"/>
      <c r="U156" s="478"/>
      <c r="V156" s="478"/>
      <c r="W156" s="478"/>
      <c r="X156" s="478"/>
      <c r="Y156" s="478"/>
      <c r="Z156" s="478"/>
    </row>
    <row r="157" spans="1:26" ht="22.5" customHeight="1">
      <c r="A157" s="478"/>
      <c r="O157" s="478"/>
      <c r="P157" s="478"/>
      <c r="Q157" s="478"/>
      <c r="R157" s="478"/>
      <c r="S157" s="478"/>
      <c r="T157" s="478"/>
      <c r="U157" s="478"/>
      <c r="V157" s="478"/>
      <c r="W157" s="478"/>
      <c r="X157" s="478"/>
      <c r="Y157" s="478"/>
      <c r="Z157" s="478"/>
    </row>
    <row r="158" spans="1:26" ht="22.5" customHeight="1">
      <c r="A158" s="478"/>
      <c r="O158" s="478"/>
      <c r="P158" s="478"/>
      <c r="Q158" s="478"/>
      <c r="R158" s="478"/>
      <c r="S158" s="478"/>
      <c r="T158" s="478"/>
      <c r="U158" s="478"/>
      <c r="V158" s="478"/>
      <c r="W158" s="478"/>
      <c r="X158" s="478"/>
      <c r="Y158" s="478"/>
      <c r="Z158" s="478"/>
    </row>
    <row r="159" spans="1:26" ht="22.5" customHeight="1">
      <c r="A159" s="478"/>
      <c r="O159" s="478"/>
      <c r="P159" s="478"/>
      <c r="Q159" s="478"/>
      <c r="R159" s="478"/>
      <c r="S159" s="478"/>
      <c r="T159" s="478"/>
      <c r="U159" s="478"/>
      <c r="V159" s="478"/>
      <c r="W159" s="478"/>
      <c r="X159" s="478"/>
      <c r="Y159" s="478"/>
      <c r="Z159" s="478"/>
    </row>
    <row r="160" spans="1:26" ht="22.5" customHeight="1">
      <c r="A160" s="478"/>
      <c r="O160" s="478"/>
      <c r="P160" s="478"/>
      <c r="Q160" s="478"/>
      <c r="R160" s="478"/>
      <c r="S160" s="478"/>
      <c r="T160" s="478"/>
      <c r="U160" s="478"/>
      <c r="V160" s="478"/>
      <c r="W160" s="478"/>
      <c r="X160" s="478"/>
      <c r="Y160" s="478"/>
      <c r="Z160" s="478"/>
    </row>
    <row r="161" spans="1:26" ht="22.5" customHeight="1">
      <c r="A161" s="478"/>
      <c r="O161" s="478"/>
      <c r="P161" s="478"/>
      <c r="Q161" s="478"/>
      <c r="R161" s="478"/>
      <c r="S161" s="478"/>
      <c r="T161" s="478"/>
      <c r="U161" s="478"/>
      <c r="V161" s="478"/>
      <c r="W161" s="478"/>
      <c r="X161" s="478"/>
      <c r="Y161" s="478"/>
      <c r="Z161" s="478"/>
    </row>
    <row r="162" spans="1:26" ht="22.5" customHeight="1">
      <c r="A162" s="478"/>
      <c r="O162" s="478"/>
      <c r="P162" s="478"/>
      <c r="Q162" s="478"/>
      <c r="R162" s="478"/>
      <c r="S162" s="478"/>
      <c r="T162" s="478"/>
      <c r="U162" s="478"/>
      <c r="V162" s="478"/>
      <c r="W162" s="478"/>
      <c r="X162" s="478"/>
      <c r="Y162" s="478"/>
      <c r="Z162" s="478"/>
    </row>
    <row r="163" spans="1:26" ht="22.5" customHeight="1">
      <c r="A163" s="478"/>
      <c r="O163" s="478"/>
      <c r="P163" s="478"/>
      <c r="Q163" s="478"/>
      <c r="R163" s="478"/>
      <c r="S163" s="478"/>
      <c r="T163" s="478"/>
      <c r="U163" s="478"/>
      <c r="V163" s="478"/>
      <c r="W163" s="478"/>
      <c r="X163" s="478"/>
      <c r="Y163" s="478"/>
      <c r="Z163" s="478"/>
    </row>
    <row r="164" spans="1:26" ht="22.5" customHeight="1">
      <c r="A164" s="478"/>
      <c r="O164" s="478"/>
      <c r="P164" s="478"/>
      <c r="Q164" s="478"/>
      <c r="R164" s="478"/>
      <c r="S164" s="478"/>
      <c r="T164" s="478"/>
      <c r="U164" s="478"/>
      <c r="V164" s="478"/>
      <c r="W164" s="478"/>
      <c r="X164" s="478"/>
      <c r="Y164" s="478"/>
      <c r="Z164" s="478"/>
    </row>
    <row r="165" spans="1:26" ht="22.5" customHeight="1">
      <c r="A165" s="478"/>
      <c r="O165" s="478"/>
      <c r="P165" s="478"/>
      <c r="Q165" s="478"/>
      <c r="R165" s="478"/>
      <c r="S165" s="478"/>
      <c r="T165" s="478"/>
      <c r="U165" s="478"/>
      <c r="V165" s="478"/>
      <c r="W165" s="478"/>
      <c r="X165" s="478"/>
      <c r="Y165" s="478"/>
      <c r="Z165" s="478"/>
    </row>
    <row r="166" spans="1:26" ht="22.5" customHeight="1">
      <c r="A166" s="478"/>
      <c r="O166" s="478"/>
      <c r="P166" s="478"/>
      <c r="Q166" s="478"/>
      <c r="R166" s="478"/>
      <c r="S166" s="478"/>
      <c r="T166" s="478"/>
      <c r="U166" s="478"/>
      <c r="V166" s="478"/>
      <c r="W166" s="478"/>
      <c r="X166" s="478"/>
      <c r="Y166" s="478"/>
      <c r="Z166" s="478"/>
    </row>
    <row r="167" spans="1:26" ht="22.5" customHeight="1">
      <c r="A167" s="478"/>
      <c r="O167" s="478"/>
      <c r="P167" s="478"/>
      <c r="Q167" s="478"/>
      <c r="R167" s="478"/>
      <c r="S167" s="478"/>
      <c r="T167" s="478"/>
      <c r="U167" s="478"/>
      <c r="V167" s="478"/>
      <c r="W167" s="478"/>
      <c r="X167" s="478"/>
      <c r="Y167" s="478"/>
      <c r="Z167" s="478"/>
    </row>
    <row r="168" spans="1:26" ht="22.5" customHeight="1">
      <c r="A168" s="478"/>
      <c r="O168" s="478"/>
      <c r="P168" s="478"/>
      <c r="Q168" s="478"/>
      <c r="R168" s="478"/>
      <c r="S168" s="478"/>
      <c r="T168" s="478"/>
      <c r="U168" s="478"/>
      <c r="V168" s="478"/>
      <c r="W168" s="478"/>
      <c r="X168" s="478"/>
      <c r="Y168" s="478"/>
      <c r="Z168" s="478"/>
    </row>
    <row r="169" spans="1:26" ht="22.5" customHeight="1">
      <c r="A169" s="478"/>
      <c r="O169" s="478"/>
      <c r="P169" s="478"/>
      <c r="Q169" s="478"/>
      <c r="R169" s="478"/>
      <c r="S169" s="478"/>
      <c r="T169" s="478"/>
      <c r="U169" s="478"/>
      <c r="V169" s="478"/>
      <c r="W169" s="478"/>
      <c r="X169" s="478"/>
      <c r="Y169" s="478"/>
      <c r="Z169" s="478"/>
    </row>
    <row r="170" spans="1:26" ht="22.5" customHeight="1">
      <c r="A170" s="478"/>
      <c r="O170" s="478"/>
      <c r="P170" s="478"/>
      <c r="Q170" s="478"/>
      <c r="R170" s="478"/>
      <c r="S170" s="478"/>
      <c r="T170" s="478"/>
      <c r="U170" s="478"/>
      <c r="V170" s="478"/>
      <c r="W170" s="478"/>
      <c r="X170" s="478"/>
      <c r="Y170" s="478"/>
      <c r="Z170" s="478"/>
    </row>
    <row r="171" spans="1:26" ht="22.5" customHeight="1">
      <c r="A171" s="478"/>
      <c r="O171" s="478"/>
      <c r="P171" s="478"/>
      <c r="Q171" s="478"/>
      <c r="R171" s="478"/>
      <c r="S171" s="478"/>
      <c r="T171" s="478"/>
      <c r="U171" s="478"/>
      <c r="V171" s="478"/>
      <c r="W171" s="478"/>
      <c r="X171" s="478"/>
      <c r="Y171" s="478"/>
      <c r="Z171" s="478"/>
    </row>
    <row r="172" spans="1:26" ht="22.5" customHeight="1">
      <c r="A172" s="478"/>
      <c r="O172" s="478"/>
      <c r="P172" s="478"/>
      <c r="Q172" s="478"/>
      <c r="R172" s="478"/>
      <c r="S172" s="478"/>
      <c r="T172" s="478"/>
      <c r="U172" s="478"/>
      <c r="V172" s="478"/>
      <c r="W172" s="478"/>
      <c r="X172" s="478"/>
      <c r="Y172" s="478"/>
      <c r="Z172" s="478"/>
    </row>
    <row r="173" spans="1:26" ht="22.5" customHeight="1">
      <c r="A173" s="478"/>
      <c r="O173" s="478"/>
      <c r="P173" s="478"/>
      <c r="Q173" s="478"/>
      <c r="R173" s="478"/>
      <c r="S173" s="478"/>
      <c r="T173" s="478"/>
      <c r="U173" s="478"/>
      <c r="V173" s="478"/>
      <c r="W173" s="478"/>
      <c r="X173" s="478"/>
      <c r="Y173" s="478"/>
      <c r="Z173" s="478"/>
    </row>
    <row r="174" spans="1:26" ht="22.5" customHeight="1">
      <c r="A174" s="478"/>
      <c r="O174" s="478"/>
      <c r="P174" s="478"/>
      <c r="Q174" s="478"/>
      <c r="R174" s="478"/>
      <c r="S174" s="478"/>
      <c r="T174" s="478"/>
      <c r="U174" s="478"/>
      <c r="V174" s="478"/>
      <c r="W174" s="478"/>
      <c r="X174" s="478"/>
      <c r="Y174" s="478"/>
      <c r="Z174" s="478"/>
    </row>
    <row r="175" spans="1:26" ht="22.5" customHeight="1">
      <c r="A175" s="478"/>
      <c r="O175" s="478"/>
      <c r="P175" s="478"/>
      <c r="Q175" s="478"/>
      <c r="R175" s="478"/>
      <c r="S175" s="478"/>
      <c r="T175" s="478"/>
      <c r="U175" s="478"/>
      <c r="V175" s="478"/>
      <c r="W175" s="478"/>
      <c r="X175" s="478"/>
      <c r="Y175" s="478"/>
      <c r="Z175" s="478"/>
    </row>
    <row r="176" spans="1:26" ht="22.5" customHeight="1">
      <c r="A176" s="478"/>
      <c r="O176" s="478"/>
      <c r="P176" s="478"/>
      <c r="Q176" s="478"/>
      <c r="R176" s="478"/>
      <c r="S176" s="478"/>
      <c r="T176" s="478"/>
      <c r="U176" s="478"/>
      <c r="V176" s="478"/>
      <c r="W176" s="478"/>
      <c r="X176" s="478"/>
      <c r="Y176" s="478"/>
      <c r="Z176" s="478"/>
    </row>
    <row r="177" spans="1:26" ht="22.5" customHeight="1">
      <c r="A177" s="478"/>
      <c r="O177" s="478"/>
      <c r="P177" s="478"/>
      <c r="Q177" s="478"/>
      <c r="R177" s="478"/>
      <c r="S177" s="478"/>
      <c r="T177" s="478"/>
      <c r="U177" s="478"/>
      <c r="V177" s="478"/>
      <c r="W177" s="478"/>
      <c r="X177" s="478"/>
      <c r="Y177" s="478"/>
      <c r="Z177" s="478"/>
    </row>
    <row r="178" spans="1:26" ht="22.5" customHeight="1">
      <c r="A178" s="478"/>
      <c r="O178" s="478"/>
      <c r="P178" s="478"/>
      <c r="Q178" s="478"/>
      <c r="R178" s="478"/>
      <c r="S178" s="478"/>
      <c r="T178" s="478"/>
      <c r="U178" s="478"/>
      <c r="V178" s="478"/>
      <c r="W178" s="478"/>
      <c r="X178" s="478"/>
      <c r="Y178" s="478"/>
      <c r="Z178" s="478"/>
    </row>
    <row r="179" spans="1:26" ht="22.5" customHeight="1">
      <c r="A179" s="478"/>
      <c r="O179" s="478"/>
      <c r="P179" s="478"/>
      <c r="Q179" s="478"/>
      <c r="R179" s="478"/>
      <c r="S179" s="478"/>
      <c r="T179" s="478"/>
      <c r="U179" s="478"/>
      <c r="V179" s="478"/>
      <c r="W179" s="478"/>
      <c r="X179" s="478"/>
      <c r="Y179" s="478"/>
      <c r="Z179" s="478"/>
    </row>
    <row r="180" spans="1:26" ht="22.5" customHeight="1">
      <c r="A180" s="478"/>
      <c r="O180" s="478"/>
      <c r="P180" s="478"/>
      <c r="Q180" s="478"/>
      <c r="R180" s="478"/>
      <c r="S180" s="478"/>
      <c r="T180" s="478"/>
      <c r="U180" s="478"/>
      <c r="V180" s="478"/>
      <c r="W180" s="478"/>
      <c r="X180" s="478"/>
      <c r="Y180" s="478"/>
      <c r="Z180" s="478"/>
    </row>
    <row r="181" spans="1:26" ht="22.5" customHeight="1">
      <c r="A181" s="478"/>
      <c r="O181" s="478"/>
      <c r="P181" s="478"/>
      <c r="Q181" s="478"/>
      <c r="R181" s="478"/>
      <c r="S181" s="478"/>
      <c r="T181" s="478"/>
      <c r="U181" s="478"/>
      <c r="V181" s="478"/>
      <c r="W181" s="478"/>
      <c r="X181" s="478"/>
      <c r="Y181" s="478"/>
      <c r="Z181" s="478"/>
    </row>
    <row r="182" spans="1:26" ht="22.5" customHeight="1">
      <c r="A182" s="478"/>
      <c r="O182" s="478"/>
      <c r="P182" s="478"/>
      <c r="Q182" s="478"/>
      <c r="R182" s="478"/>
      <c r="S182" s="478"/>
      <c r="T182" s="478"/>
      <c r="U182" s="478"/>
      <c r="V182" s="478"/>
      <c r="W182" s="478"/>
      <c r="X182" s="478"/>
      <c r="Y182" s="478"/>
      <c r="Z182" s="478"/>
    </row>
    <row r="183" spans="1:26" ht="22.5" customHeight="1">
      <c r="A183" s="478"/>
      <c r="O183" s="478"/>
      <c r="P183" s="478"/>
      <c r="Q183" s="478"/>
      <c r="R183" s="478"/>
      <c r="S183" s="478"/>
      <c r="T183" s="478"/>
      <c r="U183" s="478"/>
      <c r="V183" s="478"/>
      <c r="W183" s="478"/>
      <c r="X183" s="478"/>
      <c r="Y183" s="478"/>
      <c r="Z183" s="478"/>
    </row>
    <row r="184" spans="1:26" ht="22.5" customHeight="1">
      <c r="A184" s="478"/>
      <c r="O184" s="478"/>
      <c r="P184" s="478"/>
      <c r="Q184" s="478"/>
      <c r="R184" s="478"/>
      <c r="S184" s="478"/>
      <c r="T184" s="478"/>
      <c r="U184" s="478"/>
      <c r="V184" s="478"/>
      <c r="W184" s="478"/>
      <c r="X184" s="478"/>
      <c r="Y184" s="478"/>
      <c r="Z184" s="478"/>
    </row>
    <row r="185" spans="1:26" ht="22.5" customHeight="1">
      <c r="A185" s="478"/>
      <c r="O185" s="478"/>
      <c r="P185" s="478"/>
      <c r="Q185" s="478"/>
      <c r="R185" s="478"/>
      <c r="S185" s="478"/>
      <c r="T185" s="478"/>
      <c r="U185" s="478"/>
      <c r="V185" s="478"/>
      <c r="W185" s="478"/>
      <c r="X185" s="478"/>
      <c r="Y185" s="478"/>
      <c r="Z185" s="478"/>
    </row>
    <row r="186" spans="1:26" ht="22.5" customHeight="1">
      <c r="A186" s="478"/>
      <c r="O186" s="478"/>
      <c r="P186" s="478"/>
      <c r="Q186" s="478"/>
      <c r="R186" s="478"/>
      <c r="S186" s="478"/>
      <c r="T186" s="478"/>
      <c r="U186" s="478"/>
      <c r="V186" s="478"/>
      <c r="W186" s="478"/>
      <c r="X186" s="478"/>
      <c r="Y186" s="478"/>
      <c r="Z186" s="478"/>
    </row>
    <row r="187" spans="1:26" ht="22.5" customHeight="1">
      <c r="A187" s="478"/>
      <c r="O187" s="478"/>
      <c r="P187" s="478"/>
      <c r="Q187" s="478"/>
      <c r="R187" s="478"/>
      <c r="S187" s="478"/>
      <c r="T187" s="478"/>
      <c r="U187" s="478"/>
      <c r="V187" s="478"/>
      <c r="W187" s="478"/>
      <c r="X187" s="478"/>
      <c r="Y187" s="478"/>
      <c r="Z187" s="478"/>
    </row>
    <row r="188" spans="1:26" ht="22.5" customHeight="1">
      <c r="A188" s="478"/>
      <c r="O188" s="478"/>
      <c r="P188" s="478"/>
      <c r="Q188" s="478"/>
      <c r="R188" s="478"/>
      <c r="S188" s="478"/>
      <c r="T188" s="478"/>
      <c r="U188" s="478"/>
      <c r="V188" s="478"/>
      <c r="W188" s="478"/>
      <c r="X188" s="478"/>
      <c r="Y188" s="478"/>
      <c r="Z188" s="478"/>
    </row>
    <row r="189" spans="1:26" ht="22.5" customHeight="1">
      <c r="A189" s="478"/>
      <c r="O189" s="478"/>
      <c r="P189" s="478"/>
      <c r="Q189" s="478"/>
      <c r="R189" s="478"/>
      <c r="S189" s="478"/>
      <c r="T189" s="478"/>
      <c r="U189" s="478"/>
      <c r="V189" s="478"/>
      <c r="W189" s="478"/>
      <c r="X189" s="478"/>
      <c r="Y189" s="478"/>
      <c r="Z189" s="478"/>
    </row>
    <row r="190" spans="1:26" ht="22.5" customHeight="1">
      <c r="A190" s="478"/>
      <c r="O190" s="478"/>
      <c r="P190" s="478"/>
      <c r="Q190" s="478"/>
      <c r="R190" s="478"/>
      <c r="S190" s="478"/>
      <c r="T190" s="478"/>
      <c r="U190" s="478"/>
      <c r="V190" s="478"/>
      <c r="W190" s="478"/>
      <c r="X190" s="478"/>
      <c r="Y190" s="478"/>
      <c r="Z190" s="478"/>
    </row>
    <row r="191" spans="1:26" ht="22.5" customHeight="1">
      <c r="A191" s="478"/>
      <c r="O191" s="478"/>
      <c r="P191" s="478"/>
      <c r="Q191" s="478"/>
      <c r="R191" s="478"/>
      <c r="S191" s="478"/>
      <c r="T191" s="478"/>
      <c r="U191" s="478"/>
      <c r="V191" s="478"/>
      <c r="W191" s="478"/>
      <c r="X191" s="478"/>
      <c r="Y191" s="478"/>
      <c r="Z191" s="478"/>
    </row>
    <row r="192" spans="1:26" ht="22.5" customHeight="1">
      <c r="A192" s="478"/>
      <c r="O192" s="478"/>
      <c r="P192" s="478"/>
      <c r="Q192" s="478"/>
      <c r="R192" s="478"/>
      <c r="S192" s="478"/>
      <c r="T192" s="478"/>
      <c r="U192" s="478"/>
      <c r="V192" s="478"/>
      <c r="W192" s="478"/>
      <c r="X192" s="478"/>
      <c r="Y192" s="478"/>
      <c r="Z192" s="478"/>
    </row>
    <row r="193" spans="1:26" ht="22.5" customHeight="1">
      <c r="A193" s="478"/>
      <c r="O193" s="478"/>
      <c r="P193" s="478"/>
      <c r="Q193" s="478"/>
      <c r="R193" s="478"/>
      <c r="S193" s="478"/>
      <c r="T193" s="478"/>
      <c r="U193" s="478"/>
      <c r="V193" s="478"/>
      <c r="W193" s="478"/>
      <c r="X193" s="478"/>
      <c r="Y193" s="478"/>
      <c r="Z193" s="478"/>
    </row>
    <row r="194" spans="1:26" ht="22.5" customHeight="1">
      <c r="A194" s="478"/>
      <c r="O194" s="478"/>
      <c r="P194" s="478"/>
      <c r="Q194" s="478"/>
      <c r="R194" s="478"/>
      <c r="S194" s="478"/>
      <c r="T194" s="478"/>
      <c r="U194" s="478"/>
      <c r="V194" s="478"/>
      <c r="W194" s="478"/>
      <c r="X194" s="478"/>
      <c r="Y194" s="478"/>
      <c r="Z194" s="478"/>
    </row>
    <row r="195" spans="1:26" ht="22.5" customHeight="1">
      <c r="A195" s="478"/>
      <c r="O195" s="478"/>
      <c r="P195" s="478"/>
      <c r="Q195" s="478"/>
      <c r="R195" s="478"/>
      <c r="S195" s="478"/>
      <c r="T195" s="478"/>
      <c r="U195" s="478"/>
      <c r="V195" s="478"/>
      <c r="W195" s="478"/>
      <c r="X195" s="478"/>
      <c r="Y195" s="478"/>
      <c r="Z195" s="478"/>
    </row>
    <row r="196" spans="1:26" ht="22.5" customHeight="1">
      <c r="A196" s="478"/>
      <c r="O196" s="478"/>
      <c r="P196" s="478"/>
      <c r="Q196" s="478"/>
      <c r="R196" s="478"/>
      <c r="S196" s="478"/>
      <c r="T196" s="478"/>
      <c r="U196" s="478"/>
      <c r="V196" s="478"/>
      <c r="W196" s="478"/>
      <c r="X196" s="478"/>
      <c r="Y196" s="478"/>
      <c r="Z196" s="478"/>
    </row>
    <row r="197" spans="1:26" ht="22.5" customHeight="1">
      <c r="A197" s="478"/>
      <c r="O197" s="478"/>
      <c r="P197" s="478"/>
      <c r="Q197" s="478"/>
      <c r="R197" s="478"/>
      <c r="S197" s="478"/>
      <c r="T197" s="478"/>
      <c r="U197" s="478"/>
      <c r="V197" s="478"/>
      <c r="W197" s="478"/>
      <c r="X197" s="478"/>
      <c r="Y197" s="478"/>
      <c r="Z197" s="478"/>
    </row>
    <row r="198" spans="1:26" ht="22.5" customHeight="1">
      <c r="A198" s="478"/>
      <c r="O198" s="478"/>
      <c r="P198" s="478"/>
      <c r="Q198" s="478"/>
      <c r="R198" s="478"/>
      <c r="S198" s="478"/>
      <c r="T198" s="478"/>
      <c r="U198" s="478"/>
      <c r="V198" s="478"/>
      <c r="W198" s="478"/>
      <c r="X198" s="478"/>
      <c r="Y198" s="478"/>
      <c r="Z198" s="478"/>
    </row>
    <row r="199" spans="1:26" ht="22.5" customHeight="1">
      <c r="A199" s="478"/>
      <c r="O199" s="478"/>
      <c r="P199" s="478"/>
      <c r="Q199" s="478"/>
      <c r="R199" s="478"/>
      <c r="S199" s="478"/>
      <c r="T199" s="478"/>
      <c r="U199" s="478"/>
      <c r="V199" s="478"/>
      <c r="W199" s="478"/>
      <c r="X199" s="478"/>
      <c r="Y199" s="478"/>
      <c r="Z199" s="478"/>
    </row>
    <row r="200" spans="1:26" ht="22.5" customHeight="1">
      <c r="A200" s="478"/>
      <c r="O200" s="478"/>
      <c r="P200" s="478"/>
      <c r="Q200" s="478"/>
      <c r="R200" s="478"/>
      <c r="S200" s="478"/>
      <c r="T200" s="478"/>
      <c r="U200" s="478"/>
      <c r="V200" s="478"/>
      <c r="W200" s="478"/>
      <c r="X200" s="478"/>
      <c r="Y200" s="478"/>
      <c r="Z200" s="478"/>
    </row>
    <row r="201" spans="1:26" ht="22.5" customHeight="1">
      <c r="A201" s="478"/>
      <c r="O201" s="478"/>
      <c r="P201" s="478"/>
      <c r="Q201" s="478"/>
      <c r="R201" s="478"/>
      <c r="S201" s="478"/>
      <c r="T201" s="478"/>
      <c r="U201" s="478"/>
      <c r="V201" s="478"/>
      <c r="W201" s="478"/>
      <c r="X201" s="478"/>
      <c r="Y201" s="478"/>
      <c r="Z201" s="478"/>
    </row>
    <row r="202" spans="1:26" ht="22.5" customHeight="1">
      <c r="A202" s="478"/>
      <c r="O202" s="478"/>
      <c r="P202" s="478"/>
      <c r="Q202" s="478"/>
      <c r="R202" s="478"/>
      <c r="S202" s="478"/>
      <c r="T202" s="478"/>
      <c r="U202" s="478"/>
      <c r="V202" s="478"/>
      <c r="W202" s="478"/>
      <c r="X202" s="478"/>
      <c r="Y202" s="478"/>
      <c r="Z202" s="478"/>
    </row>
    <row r="203" spans="1:26" ht="22.5" customHeight="1">
      <c r="A203" s="478"/>
      <c r="O203" s="478"/>
      <c r="P203" s="478"/>
      <c r="Q203" s="478"/>
      <c r="R203" s="478"/>
      <c r="S203" s="478"/>
      <c r="T203" s="478"/>
      <c r="U203" s="478"/>
      <c r="V203" s="478"/>
      <c r="W203" s="478"/>
      <c r="X203" s="478"/>
      <c r="Y203" s="478"/>
      <c r="Z203" s="478"/>
    </row>
    <row r="204" spans="1:26" ht="22.5" customHeight="1">
      <c r="A204" s="478"/>
      <c r="O204" s="478"/>
      <c r="P204" s="478"/>
      <c r="Q204" s="478"/>
      <c r="R204" s="478"/>
      <c r="S204" s="478"/>
      <c r="T204" s="478"/>
      <c r="U204" s="478"/>
      <c r="V204" s="478"/>
      <c r="W204" s="478"/>
      <c r="X204" s="478"/>
      <c r="Y204" s="478"/>
      <c r="Z204" s="478"/>
    </row>
    <row r="205" spans="1:26" ht="22.5" customHeight="1">
      <c r="A205" s="478"/>
      <c r="O205" s="478"/>
      <c r="P205" s="478"/>
      <c r="Q205" s="478"/>
      <c r="R205" s="478"/>
      <c r="S205" s="478"/>
      <c r="T205" s="478"/>
      <c r="U205" s="478"/>
      <c r="V205" s="478"/>
      <c r="W205" s="478"/>
      <c r="X205" s="478"/>
      <c r="Y205" s="478"/>
      <c r="Z205" s="478"/>
    </row>
    <row r="206" spans="1:26" ht="22.5" customHeight="1">
      <c r="A206" s="478"/>
      <c r="O206" s="478"/>
      <c r="P206" s="478"/>
      <c r="Q206" s="478"/>
      <c r="R206" s="478"/>
      <c r="S206" s="478"/>
      <c r="T206" s="478"/>
      <c r="U206" s="478"/>
      <c r="V206" s="478"/>
      <c r="W206" s="478"/>
      <c r="X206" s="478"/>
      <c r="Y206" s="478"/>
      <c r="Z206" s="478"/>
    </row>
    <row r="207" spans="1:26" ht="22.5" customHeight="1">
      <c r="A207" s="478"/>
      <c r="O207" s="478"/>
      <c r="P207" s="478"/>
      <c r="Q207" s="478"/>
      <c r="R207" s="478"/>
      <c r="S207" s="478"/>
      <c r="T207" s="478"/>
      <c r="U207" s="478"/>
      <c r="V207" s="478"/>
      <c r="W207" s="478"/>
      <c r="X207" s="478"/>
      <c r="Y207" s="478"/>
      <c r="Z207" s="478"/>
    </row>
    <row r="208" spans="1:26" ht="22.5" customHeight="1">
      <c r="A208" s="478"/>
      <c r="O208" s="478"/>
      <c r="P208" s="478"/>
      <c r="Q208" s="478"/>
      <c r="R208" s="478"/>
      <c r="S208" s="478"/>
      <c r="T208" s="478"/>
      <c r="U208" s="478"/>
      <c r="V208" s="478"/>
      <c r="W208" s="478"/>
      <c r="X208" s="478"/>
      <c r="Y208" s="478"/>
      <c r="Z208" s="478"/>
    </row>
    <row r="209" spans="1:26" ht="22.5" customHeight="1">
      <c r="A209" s="478"/>
      <c r="O209" s="478"/>
      <c r="P209" s="478"/>
      <c r="Q209" s="478"/>
      <c r="R209" s="478"/>
      <c r="S209" s="478"/>
      <c r="T209" s="478"/>
      <c r="U209" s="478"/>
      <c r="V209" s="478"/>
      <c r="W209" s="478"/>
      <c r="X209" s="478"/>
      <c r="Y209" s="478"/>
      <c r="Z209" s="478"/>
    </row>
    <row r="210" spans="1:26" ht="22.5" customHeight="1">
      <c r="A210" s="478"/>
      <c r="O210" s="478"/>
      <c r="P210" s="478"/>
      <c r="Q210" s="478"/>
      <c r="R210" s="478"/>
      <c r="S210" s="478"/>
      <c r="T210" s="478"/>
      <c r="U210" s="478"/>
      <c r="V210" s="478"/>
      <c r="W210" s="478"/>
      <c r="X210" s="478"/>
      <c r="Y210" s="478"/>
      <c r="Z210" s="478"/>
    </row>
    <row r="211" spans="1:26" ht="22.5" customHeight="1">
      <c r="A211" s="478"/>
      <c r="O211" s="478"/>
      <c r="P211" s="478"/>
      <c r="Q211" s="478"/>
      <c r="R211" s="478"/>
      <c r="S211" s="478"/>
      <c r="T211" s="478"/>
      <c r="U211" s="478"/>
      <c r="V211" s="478"/>
      <c r="W211" s="478"/>
      <c r="X211" s="478"/>
      <c r="Y211" s="478"/>
      <c r="Z211" s="478"/>
    </row>
    <row r="212" spans="1:26" ht="22.5" customHeight="1">
      <c r="A212" s="478"/>
      <c r="O212" s="478"/>
      <c r="P212" s="478"/>
      <c r="Q212" s="478"/>
      <c r="R212" s="478"/>
      <c r="S212" s="478"/>
      <c r="T212" s="478"/>
      <c r="U212" s="478"/>
      <c r="V212" s="478"/>
      <c r="W212" s="478"/>
      <c r="X212" s="478"/>
      <c r="Y212" s="478"/>
      <c r="Z212" s="478"/>
    </row>
    <row r="213" spans="1:26" ht="22.5" customHeight="1">
      <c r="A213" s="478"/>
      <c r="O213" s="478"/>
      <c r="P213" s="478"/>
      <c r="Q213" s="478"/>
      <c r="R213" s="478"/>
      <c r="S213" s="478"/>
      <c r="T213" s="478"/>
      <c r="U213" s="478"/>
      <c r="V213" s="478"/>
      <c r="W213" s="478"/>
      <c r="X213" s="478"/>
      <c r="Y213" s="478"/>
      <c r="Z213" s="478"/>
    </row>
    <row r="214" spans="1:26" ht="22.5" customHeight="1">
      <c r="A214" s="478"/>
      <c r="O214" s="478"/>
      <c r="P214" s="478"/>
      <c r="Q214" s="478"/>
      <c r="R214" s="478"/>
      <c r="S214" s="478"/>
      <c r="T214" s="478"/>
      <c r="U214" s="478"/>
      <c r="V214" s="478"/>
      <c r="W214" s="478"/>
      <c r="X214" s="478"/>
      <c r="Y214" s="478"/>
      <c r="Z214" s="478"/>
    </row>
    <row r="215" spans="1:26" ht="22.5" customHeight="1">
      <c r="A215" s="478"/>
      <c r="O215" s="478"/>
      <c r="P215" s="478"/>
      <c r="Q215" s="478"/>
      <c r="R215" s="478"/>
      <c r="S215" s="478"/>
      <c r="T215" s="478"/>
      <c r="U215" s="478"/>
      <c r="V215" s="478"/>
      <c r="W215" s="478"/>
      <c r="X215" s="478"/>
      <c r="Y215" s="478"/>
      <c r="Z215" s="478"/>
    </row>
    <row r="216" spans="1:26" ht="22.5" customHeight="1">
      <c r="A216" s="478"/>
      <c r="O216" s="478"/>
      <c r="P216" s="478"/>
      <c r="Q216" s="478"/>
      <c r="R216" s="478"/>
      <c r="S216" s="478"/>
      <c r="T216" s="478"/>
      <c r="U216" s="478"/>
      <c r="V216" s="478"/>
      <c r="W216" s="478"/>
      <c r="X216" s="478"/>
      <c r="Y216" s="478"/>
      <c r="Z216" s="478"/>
    </row>
    <row r="217" spans="1:26" ht="22.5" customHeight="1">
      <c r="A217" s="478"/>
      <c r="O217" s="478"/>
      <c r="P217" s="478"/>
      <c r="Q217" s="478"/>
      <c r="R217" s="478"/>
      <c r="S217" s="478"/>
      <c r="T217" s="478"/>
      <c r="U217" s="478"/>
      <c r="V217" s="478"/>
      <c r="W217" s="478"/>
      <c r="X217" s="478"/>
      <c r="Y217" s="478"/>
      <c r="Z217" s="478"/>
    </row>
    <row r="218" spans="1:26" ht="22.5" customHeight="1">
      <c r="A218" s="478"/>
      <c r="O218" s="478"/>
      <c r="P218" s="478"/>
      <c r="Q218" s="478"/>
      <c r="R218" s="478"/>
      <c r="S218" s="478"/>
      <c r="T218" s="478"/>
      <c r="U218" s="478"/>
      <c r="V218" s="478"/>
      <c r="W218" s="478"/>
      <c r="X218" s="478"/>
      <c r="Y218" s="478"/>
      <c r="Z218" s="478"/>
    </row>
    <row r="219" spans="1:26" ht="22.5" customHeight="1">
      <c r="A219" s="478"/>
      <c r="O219" s="478"/>
      <c r="P219" s="478"/>
      <c r="Q219" s="478"/>
      <c r="R219" s="478"/>
      <c r="S219" s="478"/>
      <c r="T219" s="478"/>
      <c r="U219" s="478"/>
      <c r="V219" s="478"/>
      <c r="W219" s="478"/>
      <c r="X219" s="478"/>
      <c r="Y219" s="478"/>
      <c r="Z219" s="478"/>
    </row>
    <row r="220" spans="1:26" ht="22.5" customHeight="1">
      <c r="A220" s="478"/>
      <c r="O220" s="478"/>
      <c r="P220" s="478"/>
      <c r="Q220" s="478"/>
      <c r="R220" s="478"/>
      <c r="S220" s="478"/>
      <c r="T220" s="478"/>
      <c r="U220" s="478"/>
      <c r="V220" s="478"/>
      <c r="W220" s="478"/>
      <c r="X220" s="478"/>
      <c r="Y220" s="478"/>
      <c r="Z220" s="478"/>
    </row>
    <row r="221" spans="1:26" ht="22.5" customHeight="1">
      <c r="A221" s="478"/>
      <c r="O221" s="478"/>
      <c r="P221" s="478"/>
      <c r="Q221" s="478"/>
      <c r="R221" s="478"/>
      <c r="S221" s="478"/>
      <c r="T221" s="478"/>
      <c r="U221" s="478"/>
      <c r="V221" s="478"/>
      <c r="W221" s="478"/>
      <c r="X221" s="478"/>
      <c r="Y221" s="478"/>
      <c r="Z221" s="478"/>
    </row>
    <row r="222" spans="1:26" ht="22.5" customHeight="1">
      <c r="A222" s="478"/>
      <c r="O222" s="478"/>
      <c r="P222" s="478"/>
      <c r="Q222" s="478"/>
      <c r="R222" s="478"/>
      <c r="S222" s="478"/>
      <c r="T222" s="478"/>
      <c r="U222" s="478"/>
      <c r="V222" s="478"/>
      <c r="W222" s="478"/>
      <c r="X222" s="478"/>
      <c r="Y222" s="478"/>
      <c r="Z222" s="478"/>
    </row>
    <row r="223" spans="1:26" ht="22.5" customHeight="1">
      <c r="A223" s="478"/>
      <c r="O223" s="478"/>
      <c r="P223" s="478"/>
      <c r="Q223" s="478"/>
      <c r="R223" s="478"/>
      <c r="S223" s="478"/>
      <c r="T223" s="478"/>
      <c r="U223" s="478"/>
      <c r="V223" s="478"/>
      <c r="W223" s="478"/>
      <c r="X223" s="478"/>
      <c r="Y223" s="478"/>
      <c r="Z223" s="478"/>
    </row>
    <row r="224" spans="1:26" ht="22.5" customHeight="1">
      <c r="A224" s="478"/>
      <c r="O224" s="478"/>
      <c r="P224" s="478"/>
      <c r="Q224" s="478"/>
      <c r="R224" s="478"/>
      <c r="S224" s="478"/>
      <c r="T224" s="478"/>
      <c r="U224" s="478"/>
      <c r="V224" s="478"/>
      <c r="W224" s="478"/>
      <c r="X224" s="478"/>
      <c r="Y224" s="478"/>
      <c r="Z224" s="478"/>
    </row>
    <row r="225" spans="1:26" ht="22.5" customHeight="1">
      <c r="A225" s="478"/>
      <c r="O225" s="478"/>
      <c r="P225" s="478"/>
      <c r="Q225" s="478"/>
      <c r="R225" s="478"/>
      <c r="S225" s="478"/>
      <c r="T225" s="478"/>
      <c r="U225" s="478"/>
      <c r="V225" s="478"/>
      <c r="W225" s="478"/>
      <c r="X225" s="478"/>
      <c r="Y225" s="478"/>
      <c r="Z225" s="478"/>
    </row>
    <row r="226" spans="1:26" ht="22.5" customHeight="1">
      <c r="A226" s="478"/>
      <c r="O226" s="478"/>
      <c r="P226" s="478"/>
      <c r="Q226" s="478"/>
      <c r="R226" s="478"/>
      <c r="S226" s="478"/>
      <c r="T226" s="478"/>
      <c r="U226" s="478"/>
      <c r="V226" s="478"/>
      <c r="W226" s="478"/>
      <c r="X226" s="478"/>
      <c r="Y226" s="478"/>
      <c r="Z226" s="478"/>
    </row>
    <row r="227" spans="1:26" ht="22.5" customHeight="1">
      <c r="A227" s="478"/>
      <c r="O227" s="478"/>
      <c r="P227" s="478"/>
      <c r="Q227" s="478"/>
      <c r="R227" s="478"/>
      <c r="S227" s="478"/>
      <c r="T227" s="478"/>
      <c r="U227" s="478"/>
      <c r="V227" s="478"/>
      <c r="W227" s="478"/>
      <c r="X227" s="478"/>
      <c r="Y227" s="478"/>
      <c r="Z227" s="478"/>
    </row>
    <row r="228" spans="1:26" ht="22.5" customHeight="1">
      <c r="A228" s="478"/>
      <c r="O228" s="478"/>
      <c r="P228" s="478"/>
      <c r="Q228" s="478"/>
      <c r="R228" s="478"/>
      <c r="S228" s="478"/>
      <c r="T228" s="478"/>
      <c r="U228" s="478"/>
      <c r="V228" s="478"/>
      <c r="W228" s="478"/>
      <c r="X228" s="478"/>
      <c r="Y228" s="478"/>
      <c r="Z228" s="478"/>
    </row>
    <row r="229" spans="1:26" ht="22.5" customHeight="1">
      <c r="A229" s="478"/>
      <c r="O229" s="478"/>
      <c r="P229" s="478"/>
      <c r="Q229" s="478"/>
      <c r="R229" s="478"/>
      <c r="S229" s="478"/>
      <c r="T229" s="478"/>
      <c r="U229" s="478"/>
      <c r="V229" s="478"/>
      <c r="W229" s="478"/>
      <c r="X229" s="478"/>
      <c r="Y229" s="478"/>
      <c r="Z229" s="478"/>
    </row>
    <row r="230" spans="1:26" ht="22.5" customHeight="1">
      <c r="A230" s="478"/>
      <c r="O230" s="478"/>
      <c r="P230" s="478"/>
      <c r="Q230" s="478"/>
      <c r="R230" s="478"/>
      <c r="S230" s="478"/>
      <c r="T230" s="478"/>
      <c r="U230" s="478"/>
      <c r="V230" s="478"/>
      <c r="W230" s="478"/>
      <c r="X230" s="478"/>
      <c r="Y230" s="478"/>
      <c r="Z230" s="478"/>
    </row>
    <row r="231" spans="1:26" ht="22.5" customHeight="1">
      <c r="A231" s="478"/>
      <c r="O231" s="478"/>
      <c r="P231" s="478"/>
      <c r="Q231" s="478"/>
      <c r="R231" s="478"/>
      <c r="S231" s="478"/>
      <c r="T231" s="478"/>
      <c r="U231" s="478"/>
      <c r="V231" s="478"/>
      <c r="W231" s="478"/>
      <c r="X231" s="478"/>
      <c r="Y231" s="478"/>
      <c r="Z231" s="478"/>
    </row>
    <row r="232" spans="1:26" ht="22.5" customHeight="1">
      <c r="A232" s="478"/>
      <c r="O232" s="478"/>
      <c r="P232" s="478"/>
      <c r="Q232" s="478"/>
      <c r="R232" s="478"/>
      <c r="S232" s="478"/>
      <c r="T232" s="478"/>
      <c r="U232" s="478"/>
      <c r="V232" s="478"/>
      <c r="W232" s="478"/>
      <c r="X232" s="478"/>
      <c r="Y232" s="478"/>
      <c r="Z232" s="478"/>
    </row>
    <row r="233" spans="1:26" ht="22.5" customHeight="1">
      <c r="A233" s="478"/>
      <c r="O233" s="478"/>
      <c r="P233" s="478"/>
      <c r="Q233" s="478"/>
      <c r="R233" s="478"/>
      <c r="S233" s="478"/>
      <c r="T233" s="478"/>
      <c r="U233" s="478"/>
      <c r="V233" s="478"/>
      <c r="W233" s="478"/>
      <c r="X233" s="478"/>
      <c r="Y233" s="478"/>
      <c r="Z233" s="478"/>
    </row>
    <row r="234" spans="1:26" ht="22.5" customHeight="1">
      <c r="A234" s="478"/>
      <c r="O234" s="478"/>
      <c r="P234" s="478"/>
      <c r="Q234" s="478"/>
      <c r="R234" s="478"/>
      <c r="S234" s="478"/>
      <c r="T234" s="478"/>
      <c r="U234" s="478"/>
      <c r="V234" s="478"/>
      <c r="W234" s="478"/>
      <c r="X234" s="478"/>
      <c r="Y234" s="478"/>
      <c r="Z234" s="478"/>
    </row>
    <row r="235" spans="1:26" ht="22.5" customHeight="1">
      <c r="A235" s="478"/>
      <c r="O235" s="478"/>
      <c r="P235" s="478"/>
      <c r="Q235" s="478"/>
      <c r="R235" s="478"/>
      <c r="S235" s="478"/>
      <c r="T235" s="478"/>
      <c r="U235" s="478"/>
      <c r="V235" s="478"/>
      <c r="W235" s="478"/>
      <c r="X235" s="478"/>
      <c r="Y235" s="478"/>
      <c r="Z235" s="478"/>
    </row>
    <row r="236" spans="1:26" ht="22.5" customHeight="1">
      <c r="A236" s="478"/>
      <c r="O236" s="478"/>
      <c r="P236" s="478"/>
      <c r="Q236" s="478"/>
      <c r="R236" s="478"/>
      <c r="S236" s="478"/>
      <c r="T236" s="478"/>
      <c r="U236" s="478"/>
      <c r="V236" s="478"/>
      <c r="W236" s="478"/>
      <c r="X236" s="478"/>
      <c r="Y236" s="478"/>
      <c r="Z236" s="478"/>
    </row>
    <row r="237" spans="1:26" ht="22.5" customHeight="1">
      <c r="A237" s="478"/>
      <c r="O237" s="478"/>
      <c r="P237" s="478"/>
      <c r="Q237" s="478"/>
      <c r="R237" s="478"/>
      <c r="S237" s="478"/>
      <c r="T237" s="478"/>
      <c r="U237" s="478"/>
      <c r="V237" s="478"/>
      <c r="W237" s="478"/>
      <c r="X237" s="478"/>
      <c r="Y237" s="478"/>
      <c r="Z237" s="478"/>
    </row>
    <row r="238" spans="1:26" ht="22.5" customHeight="1">
      <c r="A238" s="478"/>
      <c r="O238" s="478"/>
      <c r="P238" s="478"/>
      <c r="Q238" s="478"/>
      <c r="R238" s="478"/>
      <c r="S238" s="478"/>
      <c r="T238" s="478"/>
      <c r="U238" s="478"/>
      <c r="V238" s="478"/>
      <c r="W238" s="478"/>
      <c r="X238" s="478"/>
      <c r="Y238" s="478"/>
      <c r="Z238" s="478"/>
    </row>
    <row r="239" spans="1:26" ht="22.5" customHeight="1">
      <c r="A239" s="478"/>
      <c r="O239" s="478"/>
      <c r="P239" s="478"/>
      <c r="Q239" s="478"/>
      <c r="R239" s="478"/>
      <c r="S239" s="478"/>
      <c r="T239" s="478"/>
      <c r="U239" s="478"/>
      <c r="V239" s="478"/>
      <c r="W239" s="478"/>
      <c r="X239" s="478"/>
      <c r="Y239" s="478"/>
      <c r="Z239" s="478"/>
    </row>
    <row r="240" spans="1:26" ht="22.5" customHeight="1">
      <c r="A240" s="478"/>
      <c r="O240" s="478"/>
      <c r="P240" s="478"/>
      <c r="Q240" s="478"/>
      <c r="R240" s="478"/>
      <c r="S240" s="478"/>
      <c r="T240" s="478"/>
      <c r="U240" s="478"/>
      <c r="V240" s="478"/>
      <c r="W240" s="478"/>
      <c r="X240" s="478"/>
      <c r="Y240" s="478"/>
      <c r="Z240" s="478"/>
    </row>
    <row r="241" spans="1:26" ht="22.5" customHeight="1">
      <c r="A241" s="478"/>
      <c r="O241" s="478"/>
      <c r="P241" s="478"/>
      <c r="Q241" s="478"/>
      <c r="R241" s="478"/>
      <c r="S241" s="478"/>
      <c r="T241" s="478"/>
      <c r="U241" s="478"/>
      <c r="V241" s="478"/>
      <c r="W241" s="478"/>
      <c r="X241" s="478"/>
      <c r="Y241" s="478"/>
      <c r="Z241" s="478"/>
    </row>
    <row r="242" spans="1:26" ht="22.5" customHeight="1">
      <c r="A242" s="478"/>
      <c r="O242" s="478"/>
      <c r="P242" s="478"/>
      <c r="Q242" s="478"/>
      <c r="R242" s="478"/>
      <c r="S242" s="478"/>
      <c r="T242" s="478"/>
      <c r="U242" s="478"/>
      <c r="V242" s="478"/>
      <c r="W242" s="478"/>
      <c r="X242" s="478"/>
      <c r="Y242" s="478"/>
      <c r="Z242" s="478"/>
    </row>
    <row r="243" spans="1:26" ht="22.5" customHeight="1">
      <c r="A243" s="478"/>
      <c r="O243" s="478"/>
      <c r="P243" s="478"/>
      <c r="Q243" s="478"/>
      <c r="R243" s="478"/>
      <c r="S243" s="478"/>
      <c r="T243" s="478"/>
      <c r="U243" s="478"/>
      <c r="V243" s="478"/>
      <c r="W243" s="478"/>
      <c r="X243" s="478"/>
      <c r="Y243" s="478"/>
      <c r="Z243" s="478"/>
    </row>
    <row r="244" spans="1:26" ht="22.5" customHeight="1">
      <c r="A244" s="478"/>
      <c r="O244" s="478"/>
      <c r="P244" s="478"/>
      <c r="Q244" s="478"/>
      <c r="R244" s="478"/>
      <c r="S244" s="478"/>
      <c r="T244" s="478"/>
      <c r="U244" s="478"/>
      <c r="V244" s="478"/>
      <c r="W244" s="478"/>
      <c r="X244" s="478"/>
      <c r="Y244" s="478"/>
      <c r="Z244" s="478"/>
    </row>
    <row r="245" spans="1:26" ht="22.5" customHeight="1">
      <c r="A245" s="478"/>
      <c r="O245" s="478"/>
      <c r="P245" s="478"/>
      <c r="Q245" s="478"/>
      <c r="R245" s="478"/>
      <c r="S245" s="478"/>
      <c r="T245" s="478"/>
      <c r="U245" s="478"/>
      <c r="V245" s="478"/>
      <c r="W245" s="478"/>
      <c r="X245" s="478"/>
      <c r="Y245" s="478"/>
      <c r="Z245" s="478"/>
    </row>
    <row r="246" spans="1:26" ht="22.5" customHeight="1">
      <c r="A246" s="478"/>
      <c r="O246" s="478"/>
      <c r="P246" s="478"/>
      <c r="Q246" s="478"/>
      <c r="R246" s="478"/>
      <c r="S246" s="478"/>
      <c r="T246" s="478"/>
      <c r="U246" s="478"/>
      <c r="V246" s="478"/>
      <c r="W246" s="478"/>
      <c r="X246" s="478"/>
      <c r="Y246" s="478"/>
      <c r="Z246" s="478"/>
    </row>
    <row r="247" spans="1:26" ht="22.5" customHeight="1">
      <c r="A247" s="478"/>
      <c r="O247" s="478"/>
      <c r="P247" s="478"/>
      <c r="Q247" s="478"/>
      <c r="R247" s="478"/>
      <c r="S247" s="478"/>
      <c r="T247" s="478"/>
      <c r="U247" s="478"/>
      <c r="V247" s="478"/>
      <c r="W247" s="478"/>
      <c r="X247" s="478"/>
      <c r="Y247" s="478"/>
      <c r="Z247" s="478"/>
    </row>
    <row r="248" spans="1:26" ht="22.5" customHeight="1">
      <c r="A248" s="478"/>
      <c r="O248" s="478"/>
      <c r="P248" s="478"/>
      <c r="Q248" s="478"/>
      <c r="R248" s="478"/>
      <c r="S248" s="478"/>
      <c r="T248" s="478"/>
      <c r="U248" s="478"/>
      <c r="V248" s="478"/>
      <c r="W248" s="478"/>
      <c r="X248" s="478"/>
      <c r="Y248" s="478"/>
      <c r="Z248" s="478"/>
    </row>
    <row r="249" spans="1:26" ht="22.5" customHeight="1">
      <c r="A249" s="478"/>
      <c r="O249" s="478"/>
      <c r="P249" s="478"/>
      <c r="Q249" s="478"/>
      <c r="R249" s="478"/>
      <c r="S249" s="478"/>
      <c r="T249" s="478"/>
      <c r="U249" s="478"/>
      <c r="V249" s="478"/>
      <c r="W249" s="478"/>
      <c r="X249" s="478"/>
      <c r="Y249" s="478"/>
      <c r="Z249" s="478"/>
    </row>
    <row r="250" spans="1:26" ht="22.5" customHeight="1">
      <c r="A250" s="478"/>
      <c r="O250" s="478"/>
      <c r="P250" s="478"/>
      <c r="Q250" s="478"/>
      <c r="R250" s="478"/>
      <c r="S250" s="478"/>
      <c r="T250" s="478"/>
      <c r="U250" s="478"/>
      <c r="V250" s="478"/>
      <c r="W250" s="478"/>
      <c r="X250" s="478"/>
      <c r="Y250" s="478"/>
      <c r="Z250" s="478"/>
    </row>
    <row r="251" spans="1:26" ht="22.5" customHeight="1">
      <c r="A251" s="478"/>
      <c r="O251" s="478"/>
      <c r="P251" s="478"/>
      <c r="Q251" s="478"/>
      <c r="R251" s="478"/>
      <c r="S251" s="478"/>
      <c r="T251" s="478"/>
      <c r="U251" s="478"/>
      <c r="V251" s="478"/>
      <c r="W251" s="478"/>
      <c r="X251" s="478"/>
      <c r="Y251" s="478"/>
      <c r="Z251" s="478"/>
    </row>
    <row r="252" spans="1:26" ht="22.5" customHeight="1">
      <c r="A252" s="478"/>
      <c r="O252" s="478"/>
      <c r="P252" s="478"/>
      <c r="Q252" s="478"/>
      <c r="R252" s="478"/>
      <c r="S252" s="478"/>
      <c r="T252" s="478"/>
      <c r="U252" s="478"/>
      <c r="V252" s="478"/>
      <c r="W252" s="478"/>
      <c r="X252" s="478"/>
      <c r="Y252" s="478"/>
      <c r="Z252" s="478"/>
    </row>
    <row r="253" spans="1:26" ht="22.5" customHeight="1">
      <c r="A253" s="478"/>
      <c r="O253" s="478"/>
      <c r="P253" s="478"/>
      <c r="Q253" s="478"/>
      <c r="R253" s="478"/>
      <c r="S253" s="478"/>
      <c r="T253" s="478"/>
      <c r="U253" s="478"/>
      <c r="V253" s="478"/>
      <c r="W253" s="478"/>
      <c r="X253" s="478"/>
      <c r="Y253" s="478"/>
      <c r="Z253" s="478"/>
    </row>
    <row r="254" spans="1:26" ht="22.5" customHeight="1">
      <c r="A254" s="478"/>
      <c r="O254" s="478"/>
      <c r="P254" s="478"/>
      <c r="Q254" s="478"/>
      <c r="R254" s="478"/>
      <c r="S254" s="478"/>
      <c r="T254" s="478"/>
      <c r="U254" s="478"/>
      <c r="V254" s="478"/>
      <c r="W254" s="478"/>
      <c r="X254" s="478"/>
      <c r="Y254" s="478"/>
      <c r="Z254" s="478"/>
    </row>
    <row r="255" spans="1:26" ht="22.5" customHeight="1">
      <c r="A255" s="478"/>
      <c r="O255" s="478"/>
      <c r="P255" s="478"/>
      <c r="Q255" s="478"/>
      <c r="R255" s="478"/>
      <c r="S255" s="478"/>
      <c r="T255" s="478"/>
      <c r="U255" s="478"/>
      <c r="V255" s="478"/>
      <c r="W255" s="478"/>
      <c r="X255" s="478"/>
      <c r="Y255" s="478"/>
      <c r="Z255" s="478"/>
    </row>
    <row r="256" spans="1:26" ht="22.5" customHeight="1">
      <c r="A256" s="478"/>
      <c r="O256" s="478"/>
      <c r="P256" s="478"/>
      <c r="Q256" s="478"/>
      <c r="R256" s="478"/>
      <c r="S256" s="478"/>
      <c r="T256" s="478"/>
      <c r="U256" s="478"/>
      <c r="V256" s="478"/>
      <c r="W256" s="478"/>
      <c r="X256" s="478"/>
      <c r="Y256" s="478"/>
      <c r="Z256" s="478"/>
    </row>
    <row r="257" spans="1:26" ht="22.5" customHeight="1">
      <c r="A257" s="478"/>
      <c r="O257" s="478"/>
      <c r="P257" s="478"/>
      <c r="Q257" s="478"/>
      <c r="R257" s="478"/>
      <c r="S257" s="478"/>
      <c r="T257" s="478"/>
      <c r="U257" s="478"/>
      <c r="V257" s="478"/>
      <c r="W257" s="478"/>
      <c r="X257" s="478"/>
      <c r="Y257" s="478"/>
      <c r="Z257" s="478"/>
    </row>
    <row r="258" spans="1:26" ht="22.5" customHeight="1">
      <c r="A258" s="478"/>
      <c r="O258" s="478"/>
      <c r="P258" s="478"/>
      <c r="Q258" s="478"/>
      <c r="R258" s="478"/>
      <c r="S258" s="478"/>
      <c r="T258" s="478"/>
      <c r="U258" s="478"/>
      <c r="V258" s="478"/>
      <c r="W258" s="478"/>
      <c r="X258" s="478"/>
      <c r="Y258" s="478"/>
      <c r="Z258" s="478"/>
    </row>
    <row r="259" spans="1:26" ht="22.5" customHeight="1">
      <c r="A259" s="478"/>
      <c r="O259" s="478"/>
      <c r="P259" s="478"/>
      <c r="Q259" s="478"/>
      <c r="R259" s="478"/>
      <c r="S259" s="478"/>
      <c r="T259" s="478"/>
      <c r="U259" s="478"/>
      <c r="V259" s="478"/>
      <c r="W259" s="478"/>
      <c r="X259" s="478"/>
      <c r="Y259" s="478"/>
      <c r="Z259" s="478"/>
    </row>
    <row r="260" spans="1:26" ht="22.5" customHeight="1">
      <c r="A260" s="478"/>
      <c r="O260" s="478"/>
      <c r="P260" s="478"/>
      <c r="Q260" s="478"/>
      <c r="R260" s="478"/>
      <c r="S260" s="478"/>
      <c r="T260" s="478"/>
      <c r="U260" s="478"/>
      <c r="V260" s="478"/>
      <c r="W260" s="478"/>
      <c r="X260" s="478"/>
      <c r="Y260" s="478"/>
      <c r="Z260" s="478"/>
    </row>
    <row r="261" spans="1:26" ht="22.5" customHeight="1">
      <c r="A261" s="478"/>
      <c r="O261" s="478"/>
      <c r="P261" s="478"/>
      <c r="Q261" s="478"/>
      <c r="R261" s="478"/>
      <c r="S261" s="478"/>
      <c r="T261" s="478"/>
      <c r="U261" s="478"/>
      <c r="V261" s="478"/>
      <c r="W261" s="478"/>
      <c r="X261" s="478"/>
      <c r="Y261" s="478"/>
      <c r="Z261" s="478"/>
    </row>
    <row r="262" spans="1:26" ht="22.5" customHeight="1">
      <c r="A262" s="478"/>
      <c r="O262" s="478"/>
      <c r="P262" s="478"/>
      <c r="Q262" s="478"/>
      <c r="R262" s="478"/>
      <c r="S262" s="478"/>
      <c r="T262" s="478"/>
      <c r="U262" s="478"/>
      <c r="V262" s="478"/>
      <c r="W262" s="478"/>
      <c r="X262" s="478"/>
      <c r="Y262" s="478"/>
      <c r="Z262" s="478"/>
    </row>
    <row r="263" spans="1:26" ht="22.5" customHeight="1">
      <c r="A263" s="478"/>
      <c r="O263" s="478"/>
      <c r="P263" s="478"/>
      <c r="Q263" s="478"/>
      <c r="R263" s="478"/>
      <c r="S263" s="478"/>
      <c r="T263" s="478"/>
      <c r="U263" s="478"/>
      <c r="V263" s="478"/>
      <c r="W263" s="478"/>
      <c r="X263" s="478"/>
      <c r="Y263" s="478"/>
      <c r="Z263" s="478"/>
    </row>
    <row r="264" spans="1:26" ht="22.5" customHeight="1">
      <c r="A264" s="478"/>
      <c r="O264" s="478"/>
      <c r="P264" s="478"/>
      <c r="Q264" s="478"/>
      <c r="R264" s="478"/>
      <c r="S264" s="478"/>
      <c r="T264" s="478"/>
      <c r="U264" s="478"/>
      <c r="V264" s="478"/>
      <c r="W264" s="478"/>
      <c r="X264" s="478"/>
      <c r="Y264" s="478"/>
      <c r="Z264" s="478"/>
    </row>
    <row r="265" spans="1:26" ht="22.5" customHeight="1">
      <c r="A265" s="478"/>
      <c r="O265" s="478"/>
      <c r="P265" s="478"/>
      <c r="Q265" s="478"/>
      <c r="R265" s="478"/>
      <c r="S265" s="478"/>
      <c r="T265" s="478"/>
      <c r="U265" s="478"/>
      <c r="V265" s="478"/>
      <c r="W265" s="478"/>
      <c r="X265" s="478"/>
      <c r="Y265" s="478"/>
      <c r="Z265" s="478"/>
    </row>
    <row r="266" spans="1:26" ht="22.5" customHeight="1">
      <c r="A266" s="478"/>
      <c r="O266" s="478"/>
      <c r="P266" s="478"/>
      <c r="Q266" s="478"/>
      <c r="R266" s="478"/>
      <c r="S266" s="478"/>
      <c r="T266" s="478"/>
      <c r="U266" s="478"/>
      <c r="V266" s="478"/>
      <c r="W266" s="478"/>
      <c r="X266" s="478"/>
      <c r="Y266" s="478"/>
      <c r="Z266" s="478"/>
    </row>
    <row r="267" spans="1:26" ht="22.5" customHeight="1">
      <c r="A267" s="478"/>
      <c r="O267" s="478"/>
      <c r="P267" s="478"/>
      <c r="Q267" s="478"/>
      <c r="R267" s="478"/>
      <c r="S267" s="478"/>
      <c r="T267" s="478"/>
      <c r="U267" s="478"/>
      <c r="V267" s="478"/>
      <c r="W267" s="478"/>
      <c r="X267" s="478"/>
      <c r="Y267" s="478"/>
      <c r="Z267" s="478"/>
    </row>
    <row r="268" spans="1:26" ht="22.5" customHeight="1">
      <c r="A268" s="478"/>
      <c r="O268" s="478"/>
      <c r="P268" s="478"/>
      <c r="Q268" s="478"/>
      <c r="R268" s="478"/>
      <c r="S268" s="478"/>
      <c r="T268" s="478"/>
      <c r="U268" s="478"/>
      <c r="V268" s="478"/>
      <c r="W268" s="478"/>
      <c r="X268" s="478"/>
      <c r="Y268" s="478"/>
      <c r="Z268" s="478"/>
    </row>
    <row r="269" spans="1:26" ht="22.5" customHeight="1">
      <c r="A269" s="478"/>
      <c r="O269" s="478"/>
      <c r="P269" s="478"/>
      <c r="Q269" s="478"/>
      <c r="R269" s="478"/>
      <c r="S269" s="478"/>
      <c r="T269" s="478"/>
      <c r="U269" s="478"/>
      <c r="V269" s="478"/>
      <c r="W269" s="478"/>
      <c r="X269" s="478"/>
      <c r="Y269" s="478"/>
      <c r="Z269" s="478"/>
    </row>
    <row r="270" spans="1:26" ht="22.5" customHeight="1">
      <c r="A270" s="478"/>
      <c r="O270" s="478"/>
      <c r="P270" s="478"/>
      <c r="Q270" s="478"/>
      <c r="R270" s="478"/>
      <c r="S270" s="478"/>
      <c r="T270" s="478"/>
      <c r="U270" s="478"/>
      <c r="V270" s="478"/>
      <c r="W270" s="478"/>
      <c r="X270" s="478"/>
      <c r="Y270" s="478"/>
      <c r="Z270" s="478"/>
    </row>
    <row r="271" spans="1:26" ht="22.5" customHeight="1">
      <c r="A271" s="478"/>
      <c r="O271" s="478"/>
      <c r="P271" s="478"/>
      <c r="Q271" s="478"/>
      <c r="R271" s="478"/>
      <c r="S271" s="478"/>
      <c r="T271" s="478"/>
      <c r="U271" s="478"/>
      <c r="V271" s="478"/>
      <c r="W271" s="478"/>
      <c r="X271" s="478"/>
      <c r="Y271" s="478"/>
      <c r="Z271" s="478"/>
    </row>
    <row r="272" spans="1:26" ht="22.5" customHeight="1">
      <c r="A272" s="478"/>
      <c r="O272" s="478"/>
      <c r="P272" s="478"/>
      <c r="Q272" s="478"/>
      <c r="R272" s="478"/>
      <c r="S272" s="478"/>
      <c r="T272" s="478"/>
      <c r="U272" s="478"/>
      <c r="V272" s="478"/>
      <c r="W272" s="478"/>
      <c r="X272" s="478"/>
      <c r="Y272" s="478"/>
      <c r="Z272" s="478"/>
    </row>
    <row r="273" spans="1:26" ht="22.5" customHeight="1">
      <c r="A273" s="478"/>
      <c r="O273" s="478"/>
      <c r="P273" s="478"/>
      <c r="Q273" s="478"/>
      <c r="R273" s="478"/>
      <c r="S273" s="478"/>
      <c r="T273" s="478"/>
      <c r="U273" s="478"/>
      <c r="V273" s="478"/>
      <c r="W273" s="478"/>
      <c r="X273" s="478"/>
      <c r="Y273" s="478"/>
      <c r="Z273" s="478"/>
    </row>
    <row r="274" spans="1:26" ht="22.5" customHeight="1">
      <c r="A274" s="478"/>
      <c r="O274" s="478"/>
      <c r="P274" s="478"/>
      <c r="Q274" s="478"/>
      <c r="R274" s="478"/>
      <c r="S274" s="478"/>
      <c r="T274" s="478"/>
      <c r="U274" s="478"/>
      <c r="V274" s="478"/>
      <c r="W274" s="478"/>
      <c r="X274" s="478"/>
      <c r="Y274" s="478"/>
      <c r="Z274" s="478"/>
    </row>
    <row r="275" spans="1:26" ht="22.5" customHeight="1">
      <c r="A275" s="478"/>
      <c r="O275" s="478"/>
      <c r="P275" s="478"/>
      <c r="Q275" s="478"/>
      <c r="R275" s="478"/>
      <c r="S275" s="478"/>
      <c r="T275" s="478"/>
      <c r="U275" s="478"/>
      <c r="V275" s="478"/>
      <c r="W275" s="478"/>
      <c r="X275" s="478"/>
      <c r="Y275" s="478"/>
      <c r="Z275" s="478"/>
    </row>
    <row r="276" spans="1:26" ht="22.5" customHeight="1">
      <c r="A276" s="478"/>
      <c r="O276" s="478"/>
      <c r="P276" s="478"/>
      <c r="Q276" s="478"/>
      <c r="R276" s="478"/>
      <c r="S276" s="478"/>
      <c r="T276" s="478"/>
      <c r="U276" s="478"/>
      <c r="V276" s="478"/>
      <c r="W276" s="478"/>
      <c r="X276" s="478"/>
      <c r="Y276" s="478"/>
      <c r="Z276" s="478"/>
    </row>
    <row r="277" spans="1:26" ht="22.5" customHeight="1">
      <c r="A277" s="478"/>
      <c r="O277" s="478"/>
      <c r="P277" s="478"/>
      <c r="Q277" s="478"/>
      <c r="R277" s="478"/>
      <c r="S277" s="478"/>
      <c r="T277" s="478"/>
      <c r="U277" s="478"/>
      <c r="V277" s="478"/>
      <c r="W277" s="478"/>
      <c r="X277" s="478"/>
      <c r="Y277" s="478"/>
      <c r="Z277" s="478"/>
    </row>
    <row r="278" spans="1:26" ht="22.5" customHeight="1">
      <c r="A278" s="478"/>
      <c r="O278" s="478"/>
      <c r="P278" s="478"/>
      <c r="Q278" s="478"/>
      <c r="R278" s="478"/>
      <c r="S278" s="478"/>
      <c r="T278" s="478"/>
      <c r="U278" s="478"/>
      <c r="V278" s="478"/>
      <c r="W278" s="478"/>
      <c r="X278" s="478"/>
      <c r="Y278" s="478"/>
      <c r="Z278" s="478"/>
    </row>
    <row r="279" spans="1:26" ht="22.5" customHeight="1">
      <c r="A279" s="478"/>
      <c r="O279" s="478"/>
      <c r="P279" s="478"/>
      <c r="Q279" s="478"/>
      <c r="R279" s="478"/>
      <c r="S279" s="478"/>
      <c r="T279" s="478"/>
      <c r="U279" s="478"/>
      <c r="V279" s="478"/>
      <c r="W279" s="478"/>
      <c r="X279" s="478"/>
      <c r="Y279" s="478"/>
      <c r="Z279" s="478"/>
    </row>
    <row r="280" spans="1:26" ht="22.5" customHeight="1">
      <c r="A280" s="478"/>
      <c r="O280" s="478"/>
      <c r="P280" s="478"/>
      <c r="Q280" s="478"/>
      <c r="R280" s="478"/>
      <c r="S280" s="478"/>
      <c r="T280" s="478"/>
      <c r="U280" s="478"/>
      <c r="V280" s="478"/>
      <c r="W280" s="478"/>
      <c r="X280" s="478"/>
      <c r="Y280" s="478"/>
      <c r="Z280" s="478"/>
    </row>
    <row r="281" spans="1:26" ht="22.5" customHeight="1">
      <c r="A281" s="478"/>
      <c r="O281" s="478"/>
      <c r="P281" s="478"/>
      <c r="Q281" s="478"/>
      <c r="R281" s="478"/>
      <c r="S281" s="478"/>
      <c r="T281" s="478"/>
      <c r="U281" s="478"/>
      <c r="V281" s="478"/>
      <c r="W281" s="478"/>
      <c r="X281" s="478"/>
      <c r="Y281" s="478"/>
      <c r="Z281" s="478"/>
    </row>
    <row r="282" spans="1:26" ht="22.5" customHeight="1">
      <c r="A282" s="478"/>
      <c r="O282" s="478"/>
      <c r="P282" s="478"/>
      <c r="Q282" s="478"/>
      <c r="R282" s="478"/>
      <c r="S282" s="478"/>
      <c r="T282" s="478"/>
      <c r="U282" s="478"/>
      <c r="V282" s="478"/>
      <c r="W282" s="478"/>
      <c r="X282" s="478"/>
      <c r="Y282" s="478"/>
      <c r="Z282" s="478"/>
    </row>
    <row r="283" spans="1:26" ht="22.5" customHeight="1">
      <c r="A283" s="478"/>
      <c r="O283" s="478"/>
      <c r="P283" s="478"/>
      <c r="Q283" s="478"/>
      <c r="R283" s="478"/>
      <c r="S283" s="478"/>
      <c r="T283" s="478"/>
      <c r="U283" s="478"/>
      <c r="V283" s="478"/>
      <c r="W283" s="478"/>
      <c r="X283" s="478"/>
      <c r="Y283" s="478"/>
      <c r="Z283" s="478"/>
    </row>
    <row r="284" spans="1:26" ht="22.5" customHeight="1">
      <c r="A284" s="478"/>
      <c r="O284" s="478"/>
      <c r="P284" s="478"/>
      <c r="Q284" s="478"/>
      <c r="R284" s="478"/>
      <c r="S284" s="478"/>
      <c r="T284" s="478"/>
      <c r="U284" s="478"/>
      <c r="V284" s="478"/>
      <c r="W284" s="478"/>
      <c r="X284" s="478"/>
      <c r="Y284" s="478"/>
      <c r="Z284" s="478"/>
    </row>
    <row r="285" spans="1:26" ht="22.5" customHeight="1">
      <c r="A285" s="478"/>
      <c r="O285" s="478"/>
      <c r="P285" s="478"/>
      <c r="Q285" s="478"/>
      <c r="R285" s="478"/>
      <c r="S285" s="478"/>
      <c r="T285" s="478"/>
      <c r="U285" s="478"/>
      <c r="V285" s="478"/>
      <c r="W285" s="478"/>
      <c r="X285" s="478"/>
      <c r="Y285" s="478"/>
      <c r="Z285" s="478"/>
    </row>
    <row r="286" spans="1:26" ht="22.5" customHeight="1">
      <c r="A286" s="478"/>
      <c r="O286" s="478"/>
      <c r="P286" s="478"/>
      <c r="Q286" s="478"/>
      <c r="R286" s="478"/>
      <c r="S286" s="478"/>
      <c r="T286" s="478"/>
      <c r="U286" s="478"/>
      <c r="V286" s="478"/>
      <c r="W286" s="478"/>
      <c r="X286" s="478"/>
      <c r="Y286" s="478"/>
      <c r="Z286" s="478"/>
    </row>
    <row r="287" spans="1:26" ht="22.5" customHeight="1">
      <c r="A287" s="478"/>
      <c r="O287" s="478"/>
      <c r="P287" s="478"/>
      <c r="Q287" s="478"/>
      <c r="R287" s="478"/>
      <c r="S287" s="478"/>
      <c r="T287" s="478"/>
      <c r="U287" s="478"/>
      <c r="V287" s="478"/>
      <c r="W287" s="478"/>
      <c r="X287" s="478"/>
      <c r="Y287" s="478"/>
      <c r="Z287" s="478"/>
    </row>
    <row r="288" spans="1:26" ht="22.5" customHeight="1">
      <c r="A288" s="478"/>
      <c r="O288" s="478"/>
      <c r="P288" s="478"/>
      <c r="Q288" s="478"/>
      <c r="R288" s="478"/>
      <c r="S288" s="478"/>
      <c r="T288" s="478"/>
      <c r="U288" s="478"/>
      <c r="V288" s="478"/>
      <c r="W288" s="478"/>
      <c r="X288" s="478"/>
      <c r="Y288" s="478"/>
      <c r="Z288" s="478"/>
    </row>
    <row r="289" spans="1:26" ht="22.5" customHeight="1">
      <c r="A289" s="478"/>
      <c r="O289" s="478"/>
      <c r="P289" s="478"/>
      <c r="Q289" s="478"/>
      <c r="R289" s="478"/>
      <c r="S289" s="478"/>
      <c r="T289" s="478"/>
      <c r="U289" s="478"/>
      <c r="V289" s="478"/>
      <c r="W289" s="478"/>
      <c r="X289" s="478"/>
      <c r="Y289" s="478"/>
      <c r="Z289" s="478"/>
    </row>
    <row r="290" spans="1:26" ht="22.5" customHeight="1">
      <c r="A290" s="478"/>
      <c r="O290" s="478"/>
      <c r="P290" s="478"/>
      <c r="Q290" s="478"/>
      <c r="R290" s="478"/>
      <c r="S290" s="478"/>
      <c r="T290" s="478"/>
      <c r="U290" s="478"/>
      <c r="V290" s="478"/>
      <c r="W290" s="478"/>
      <c r="X290" s="478"/>
      <c r="Y290" s="478"/>
      <c r="Z290" s="478"/>
    </row>
    <row r="291" spans="1:26" ht="22.5" customHeight="1">
      <c r="A291" s="478"/>
      <c r="O291" s="478"/>
      <c r="P291" s="478"/>
      <c r="Q291" s="478"/>
      <c r="R291" s="478"/>
      <c r="S291" s="478"/>
      <c r="T291" s="478"/>
      <c r="U291" s="478"/>
      <c r="V291" s="478"/>
      <c r="W291" s="478"/>
      <c r="X291" s="478"/>
      <c r="Y291" s="478"/>
      <c r="Z291" s="478"/>
    </row>
    <row r="292" spans="1:26" ht="22.5" customHeight="1">
      <c r="A292" s="478"/>
      <c r="O292" s="478"/>
      <c r="P292" s="478"/>
      <c r="Q292" s="478"/>
      <c r="R292" s="478"/>
      <c r="S292" s="478"/>
      <c r="T292" s="478"/>
      <c r="U292" s="478"/>
      <c r="V292" s="478"/>
      <c r="W292" s="478"/>
      <c r="X292" s="478"/>
      <c r="Y292" s="478"/>
      <c r="Z292" s="478"/>
    </row>
    <row r="293" spans="1:26" ht="22.5" customHeight="1">
      <c r="A293" s="478"/>
      <c r="O293" s="478"/>
      <c r="P293" s="478"/>
      <c r="Q293" s="478"/>
      <c r="R293" s="478"/>
      <c r="S293" s="478"/>
      <c r="T293" s="478"/>
      <c r="U293" s="478"/>
      <c r="V293" s="478"/>
      <c r="W293" s="478"/>
      <c r="X293" s="478"/>
      <c r="Y293" s="478"/>
      <c r="Z293" s="478"/>
    </row>
    <row r="294" spans="1:26" ht="22.5" customHeight="1">
      <c r="A294" s="478"/>
      <c r="O294" s="478"/>
      <c r="P294" s="478"/>
      <c r="Q294" s="478"/>
      <c r="R294" s="478"/>
      <c r="S294" s="478"/>
      <c r="T294" s="478"/>
      <c r="U294" s="478"/>
      <c r="V294" s="478"/>
      <c r="W294" s="478"/>
      <c r="X294" s="478"/>
      <c r="Y294" s="478"/>
      <c r="Z294" s="478"/>
    </row>
    <row r="295" spans="1:26" ht="22.5" customHeight="1">
      <c r="A295" s="478"/>
      <c r="O295" s="478"/>
      <c r="P295" s="478"/>
      <c r="Q295" s="478"/>
      <c r="R295" s="478"/>
      <c r="S295" s="478"/>
      <c r="T295" s="478"/>
      <c r="U295" s="478"/>
      <c r="V295" s="478"/>
      <c r="W295" s="478"/>
      <c r="X295" s="478"/>
      <c r="Y295" s="478"/>
      <c r="Z295" s="478"/>
    </row>
    <row r="296" spans="1:26" ht="22.5" customHeight="1">
      <c r="A296" s="478"/>
      <c r="O296" s="478"/>
      <c r="P296" s="478"/>
      <c r="Q296" s="478"/>
      <c r="R296" s="478"/>
      <c r="S296" s="478"/>
      <c r="T296" s="478"/>
      <c r="U296" s="478"/>
      <c r="V296" s="478"/>
      <c r="W296" s="478"/>
      <c r="X296" s="478"/>
      <c r="Y296" s="478"/>
      <c r="Z296" s="478"/>
    </row>
    <row r="297" spans="1:26" ht="22.5" customHeight="1">
      <c r="A297" s="478"/>
      <c r="O297" s="478"/>
      <c r="P297" s="478"/>
      <c r="Q297" s="478"/>
      <c r="R297" s="478"/>
      <c r="S297" s="478"/>
      <c r="T297" s="478"/>
      <c r="U297" s="478"/>
      <c r="V297" s="478"/>
      <c r="W297" s="478"/>
      <c r="X297" s="478"/>
      <c r="Y297" s="478"/>
      <c r="Z297" s="478"/>
    </row>
    <row r="298" spans="1:26" ht="22.5" customHeight="1">
      <c r="A298" s="478"/>
      <c r="O298" s="478"/>
      <c r="P298" s="478"/>
      <c r="Q298" s="478"/>
      <c r="R298" s="478"/>
      <c r="S298" s="478"/>
      <c r="T298" s="478"/>
      <c r="U298" s="478"/>
      <c r="V298" s="478"/>
      <c r="W298" s="478"/>
      <c r="X298" s="478"/>
      <c r="Y298" s="478"/>
      <c r="Z298" s="478"/>
    </row>
    <row r="299" spans="1:26" ht="22.5" customHeight="1">
      <c r="A299" s="478"/>
      <c r="O299" s="478"/>
      <c r="P299" s="478"/>
      <c r="Q299" s="478"/>
      <c r="R299" s="478"/>
      <c r="S299" s="478"/>
      <c r="T299" s="478"/>
      <c r="U299" s="478"/>
      <c r="V299" s="478"/>
      <c r="W299" s="478"/>
      <c r="X299" s="478"/>
      <c r="Y299" s="478"/>
      <c r="Z299" s="478"/>
    </row>
    <row r="300" spans="1:26" ht="22.5" customHeight="1">
      <c r="A300" s="478"/>
      <c r="O300" s="478"/>
      <c r="P300" s="478"/>
      <c r="Q300" s="478"/>
      <c r="R300" s="478"/>
      <c r="S300" s="478"/>
      <c r="T300" s="478"/>
      <c r="U300" s="478"/>
      <c r="V300" s="478"/>
      <c r="W300" s="478"/>
      <c r="X300" s="478"/>
      <c r="Y300" s="478"/>
      <c r="Z300" s="478"/>
    </row>
    <row r="301" spans="1:26" ht="22.5" customHeight="1">
      <c r="A301" s="478"/>
      <c r="O301" s="478"/>
      <c r="P301" s="478"/>
      <c r="Q301" s="478"/>
      <c r="R301" s="478"/>
      <c r="S301" s="478"/>
      <c r="T301" s="478"/>
      <c r="U301" s="478"/>
      <c r="V301" s="478"/>
      <c r="W301" s="478"/>
      <c r="X301" s="478"/>
      <c r="Y301" s="478"/>
      <c r="Z301" s="478"/>
    </row>
    <row r="302" spans="1:26" ht="22.5" customHeight="1">
      <c r="A302" s="478"/>
      <c r="O302" s="478"/>
      <c r="P302" s="478"/>
      <c r="Q302" s="478"/>
      <c r="R302" s="478"/>
      <c r="S302" s="478"/>
      <c r="T302" s="478"/>
      <c r="U302" s="478"/>
      <c r="V302" s="478"/>
      <c r="W302" s="478"/>
      <c r="X302" s="478"/>
      <c r="Y302" s="478"/>
      <c r="Z302" s="478"/>
    </row>
    <row r="303" spans="1:26" ht="22.5" customHeight="1">
      <c r="A303" s="478"/>
      <c r="O303" s="478"/>
      <c r="P303" s="478"/>
      <c r="Q303" s="478"/>
      <c r="R303" s="478"/>
      <c r="S303" s="478"/>
      <c r="T303" s="478"/>
      <c r="U303" s="478"/>
      <c r="V303" s="478"/>
      <c r="W303" s="478"/>
      <c r="X303" s="478"/>
      <c r="Y303" s="478"/>
      <c r="Z303" s="478"/>
    </row>
    <row r="304" spans="1:26" ht="22.5" customHeight="1">
      <c r="A304" s="478"/>
      <c r="O304" s="478"/>
      <c r="P304" s="478"/>
      <c r="Q304" s="478"/>
      <c r="R304" s="478"/>
      <c r="S304" s="478"/>
      <c r="T304" s="478"/>
      <c r="U304" s="478"/>
      <c r="V304" s="478"/>
      <c r="W304" s="478"/>
      <c r="X304" s="478"/>
      <c r="Y304" s="478"/>
      <c r="Z304" s="478"/>
    </row>
    <row r="305" spans="1:26" ht="22.5" customHeight="1">
      <c r="A305" s="478"/>
      <c r="O305" s="478"/>
      <c r="P305" s="478"/>
      <c r="Q305" s="478"/>
      <c r="R305" s="478"/>
      <c r="S305" s="478"/>
      <c r="T305" s="478"/>
      <c r="U305" s="478"/>
      <c r="V305" s="478"/>
      <c r="W305" s="478"/>
      <c r="X305" s="478"/>
      <c r="Y305" s="478"/>
      <c r="Z305" s="478"/>
    </row>
    <row r="306" spans="1:26" ht="22.5" customHeight="1">
      <c r="A306" s="478"/>
      <c r="O306" s="478"/>
      <c r="P306" s="478"/>
      <c r="Q306" s="478"/>
      <c r="R306" s="478"/>
      <c r="S306" s="478"/>
      <c r="T306" s="478"/>
      <c r="U306" s="478"/>
      <c r="V306" s="478"/>
      <c r="W306" s="478"/>
      <c r="X306" s="478"/>
      <c r="Y306" s="478"/>
      <c r="Z306" s="478"/>
    </row>
    <row r="307" spans="1:26" ht="22.5" customHeight="1">
      <c r="A307" s="478"/>
      <c r="O307" s="478"/>
      <c r="P307" s="478"/>
      <c r="Q307" s="478"/>
      <c r="R307" s="478"/>
      <c r="S307" s="478"/>
      <c r="T307" s="478"/>
      <c r="U307" s="478"/>
      <c r="V307" s="478"/>
      <c r="W307" s="478"/>
      <c r="X307" s="478"/>
      <c r="Y307" s="478"/>
      <c r="Z307" s="478"/>
    </row>
    <row r="308" spans="1:26" ht="22.5" customHeight="1">
      <c r="A308" s="478"/>
      <c r="O308" s="478"/>
      <c r="P308" s="478"/>
      <c r="Q308" s="478"/>
      <c r="R308" s="478"/>
      <c r="S308" s="478"/>
      <c r="T308" s="478"/>
      <c r="U308" s="478"/>
      <c r="V308" s="478"/>
      <c r="W308" s="478"/>
      <c r="X308" s="478"/>
      <c r="Y308" s="478"/>
      <c r="Z308" s="478"/>
    </row>
    <row r="309" spans="1:26" ht="22.5" customHeight="1">
      <c r="A309" s="478"/>
      <c r="O309" s="478"/>
      <c r="P309" s="478"/>
      <c r="Q309" s="478"/>
      <c r="R309" s="478"/>
      <c r="S309" s="478"/>
      <c r="T309" s="478"/>
      <c r="U309" s="478"/>
      <c r="V309" s="478"/>
      <c r="W309" s="478"/>
      <c r="X309" s="478"/>
      <c r="Y309" s="478"/>
      <c r="Z309" s="478"/>
    </row>
    <row r="310" spans="1:26" ht="22.5" customHeight="1">
      <c r="A310" s="478"/>
      <c r="O310" s="478"/>
      <c r="P310" s="478"/>
      <c r="Q310" s="478"/>
      <c r="R310" s="478"/>
      <c r="S310" s="478"/>
      <c r="T310" s="478"/>
      <c r="U310" s="478"/>
      <c r="V310" s="478"/>
      <c r="W310" s="478"/>
      <c r="X310" s="478"/>
      <c r="Y310" s="478"/>
      <c r="Z310" s="478"/>
    </row>
    <row r="311" spans="1:26" ht="22.5" customHeight="1">
      <c r="A311" s="478"/>
      <c r="O311" s="478"/>
      <c r="P311" s="478"/>
      <c r="Q311" s="478"/>
      <c r="R311" s="478"/>
      <c r="S311" s="478"/>
      <c r="T311" s="478"/>
      <c r="U311" s="478"/>
      <c r="V311" s="478"/>
      <c r="W311" s="478"/>
      <c r="X311" s="478"/>
      <c r="Y311" s="478"/>
      <c r="Z311" s="478"/>
    </row>
    <row r="312" spans="1:26" ht="22.5" customHeight="1">
      <c r="A312" s="478"/>
      <c r="O312" s="478"/>
      <c r="P312" s="478"/>
      <c r="Q312" s="478"/>
      <c r="R312" s="478"/>
      <c r="S312" s="478"/>
      <c r="T312" s="478"/>
      <c r="U312" s="478"/>
      <c r="V312" s="478"/>
      <c r="W312" s="478"/>
      <c r="X312" s="478"/>
      <c r="Y312" s="478"/>
      <c r="Z312" s="478"/>
    </row>
    <row r="313" spans="1:26" ht="22.5" customHeight="1">
      <c r="A313" s="478"/>
      <c r="O313" s="478"/>
      <c r="P313" s="478"/>
      <c r="Q313" s="478"/>
      <c r="R313" s="478"/>
      <c r="S313" s="478"/>
      <c r="T313" s="478"/>
      <c r="U313" s="478"/>
      <c r="V313" s="478"/>
      <c r="W313" s="478"/>
      <c r="X313" s="478"/>
      <c r="Y313" s="478"/>
      <c r="Z313" s="478"/>
    </row>
    <row r="314" spans="1:26" ht="22.5" customHeight="1">
      <c r="A314" s="478"/>
      <c r="O314" s="478"/>
      <c r="P314" s="478"/>
      <c r="Q314" s="478"/>
      <c r="R314" s="478"/>
      <c r="S314" s="478"/>
      <c r="T314" s="478"/>
      <c r="U314" s="478"/>
      <c r="V314" s="478"/>
      <c r="W314" s="478"/>
      <c r="X314" s="478"/>
      <c r="Y314" s="478"/>
      <c r="Z314" s="478"/>
    </row>
    <row r="315" spans="1:26" ht="22.5" customHeight="1">
      <c r="A315" s="478"/>
      <c r="O315" s="478"/>
      <c r="P315" s="478"/>
      <c r="Q315" s="478"/>
      <c r="R315" s="478"/>
      <c r="S315" s="478"/>
      <c r="T315" s="478"/>
      <c r="U315" s="478"/>
      <c r="V315" s="478"/>
      <c r="W315" s="478"/>
      <c r="X315" s="478"/>
      <c r="Y315" s="478"/>
      <c r="Z315" s="478"/>
    </row>
    <row r="316" spans="1:26" ht="22.5" customHeight="1">
      <c r="A316" s="478"/>
      <c r="O316" s="478"/>
      <c r="P316" s="478"/>
      <c r="Q316" s="478"/>
      <c r="R316" s="478"/>
      <c r="S316" s="478"/>
      <c r="T316" s="478"/>
      <c r="U316" s="478"/>
      <c r="V316" s="478"/>
      <c r="W316" s="478"/>
      <c r="X316" s="478"/>
      <c r="Y316" s="478"/>
      <c r="Z316" s="478"/>
    </row>
    <row r="317" spans="1:26" ht="22.5" customHeight="1">
      <c r="A317" s="478"/>
      <c r="O317" s="478"/>
      <c r="P317" s="478"/>
      <c r="Q317" s="478"/>
      <c r="R317" s="478"/>
      <c r="S317" s="478"/>
      <c r="T317" s="478"/>
      <c r="U317" s="478"/>
      <c r="V317" s="478"/>
      <c r="W317" s="478"/>
      <c r="X317" s="478"/>
      <c r="Y317" s="478"/>
      <c r="Z317" s="478"/>
    </row>
    <row r="318" spans="1:26" ht="22.5" customHeight="1">
      <c r="A318" s="478"/>
      <c r="O318" s="478"/>
      <c r="P318" s="478"/>
      <c r="Q318" s="478"/>
      <c r="R318" s="478"/>
      <c r="S318" s="478"/>
      <c r="T318" s="478"/>
      <c r="U318" s="478"/>
      <c r="V318" s="478"/>
      <c r="W318" s="478"/>
      <c r="X318" s="478"/>
      <c r="Y318" s="478"/>
      <c r="Z318" s="478"/>
    </row>
    <row r="319" spans="1:26" ht="22.5" customHeight="1">
      <c r="A319" s="478"/>
      <c r="O319" s="478"/>
      <c r="P319" s="478"/>
      <c r="Q319" s="478"/>
      <c r="R319" s="478"/>
      <c r="S319" s="478"/>
      <c r="T319" s="478"/>
      <c r="U319" s="478"/>
      <c r="V319" s="478"/>
      <c r="W319" s="478"/>
      <c r="X319" s="478"/>
      <c r="Y319" s="478"/>
      <c r="Z319" s="478"/>
    </row>
    <row r="320" spans="1:26" ht="22.5" customHeight="1">
      <c r="A320" s="478"/>
      <c r="O320" s="478"/>
      <c r="P320" s="478"/>
      <c r="Q320" s="478"/>
      <c r="R320" s="478"/>
      <c r="S320" s="478"/>
      <c r="T320" s="478"/>
      <c r="U320" s="478"/>
      <c r="V320" s="478"/>
      <c r="W320" s="478"/>
      <c r="X320" s="478"/>
      <c r="Y320" s="478"/>
      <c r="Z320" s="478"/>
    </row>
    <row r="321" spans="1:26" ht="22.5" customHeight="1">
      <c r="A321" s="478"/>
      <c r="O321" s="478"/>
      <c r="P321" s="478"/>
      <c r="Q321" s="478"/>
      <c r="R321" s="478"/>
      <c r="S321" s="478"/>
      <c r="T321" s="478"/>
      <c r="U321" s="478"/>
      <c r="V321" s="478"/>
      <c r="W321" s="478"/>
      <c r="X321" s="478"/>
      <c r="Y321" s="478"/>
      <c r="Z321" s="478"/>
    </row>
    <row r="322" spans="1:26" ht="22.5" customHeight="1">
      <c r="A322" s="478"/>
      <c r="O322" s="478"/>
      <c r="P322" s="478"/>
      <c r="Q322" s="478"/>
      <c r="R322" s="478"/>
      <c r="S322" s="478"/>
      <c r="T322" s="478"/>
      <c r="U322" s="478"/>
      <c r="V322" s="478"/>
      <c r="W322" s="478"/>
      <c r="X322" s="478"/>
      <c r="Y322" s="478"/>
      <c r="Z322" s="478"/>
    </row>
    <row r="323" spans="1:26" ht="22.5" customHeight="1">
      <c r="A323" s="478"/>
      <c r="O323" s="478"/>
      <c r="P323" s="478"/>
      <c r="Q323" s="478"/>
      <c r="R323" s="478"/>
      <c r="S323" s="478"/>
      <c r="T323" s="478"/>
      <c r="U323" s="478"/>
      <c r="V323" s="478"/>
      <c r="W323" s="478"/>
      <c r="X323" s="478"/>
      <c r="Y323" s="478"/>
      <c r="Z323" s="478"/>
    </row>
    <row r="324" spans="1:26" ht="22.5" customHeight="1">
      <c r="A324" s="478"/>
      <c r="O324" s="478"/>
      <c r="P324" s="478"/>
      <c r="Q324" s="478"/>
      <c r="R324" s="478"/>
      <c r="S324" s="478"/>
      <c r="T324" s="478"/>
      <c r="U324" s="478"/>
      <c r="V324" s="478"/>
      <c r="W324" s="478"/>
      <c r="X324" s="478"/>
      <c r="Y324" s="478"/>
      <c r="Z324" s="478"/>
    </row>
    <row r="325" spans="1:26" ht="22.5" customHeight="1">
      <c r="A325" s="478"/>
      <c r="O325" s="478"/>
      <c r="P325" s="478"/>
      <c r="Q325" s="478"/>
      <c r="R325" s="478"/>
      <c r="S325" s="478"/>
      <c r="T325" s="478"/>
      <c r="U325" s="478"/>
      <c r="V325" s="478"/>
      <c r="W325" s="478"/>
      <c r="X325" s="478"/>
      <c r="Y325" s="478"/>
      <c r="Z325" s="478"/>
    </row>
    <row r="326" spans="1:26" ht="22.5" customHeight="1">
      <c r="A326" s="478"/>
      <c r="O326" s="478"/>
      <c r="P326" s="478"/>
      <c r="Q326" s="478"/>
      <c r="R326" s="478"/>
      <c r="S326" s="478"/>
      <c r="T326" s="478"/>
      <c r="U326" s="478"/>
      <c r="V326" s="478"/>
      <c r="W326" s="478"/>
      <c r="X326" s="478"/>
      <c r="Y326" s="478"/>
      <c r="Z326" s="478"/>
    </row>
    <row r="327" spans="1:26" ht="22.5" customHeight="1">
      <c r="A327" s="478"/>
      <c r="O327" s="478"/>
      <c r="P327" s="478"/>
      <c r="Q327" s="478"/>
      <c r="R327" s="478"/>
      <c r="S327" s="478"/>
      <c r="T327" s="478"/>
      <c r="U327" s="478"/>
      <c r="V327" s="478"/>
      <c r="W327" s="478"/>
      <c r="X327" s="478"/>
      <c r="Y327" s="478"/>
      <c r="Z327" s="478"/>
    </row>
    <row r="328" spans="1:26" ht="22.5" customHeight="1">
      <c r="A328" s="478"/>
      <c r="O328" s="478"/>
      <c r="P328" s="478"/>
      <c r="Q328" s="478"/>
      <c r="R328" s="478"/>
      <c r="S328" s="478"/>
      <c r="T328" s="478"/>
      <c r="U328" s="478"/>
      <c r="V328" s="478"/>
      <c r="W328" s="478"/>
      <c r="X328" s="478"/>
      <c r="Y328" s="478"/>
      <c r="Z328" s="478"/>
    </row>
    <row r="329" spans="1:26" ht="22.5" customHeight="1">
      <c r="A329" s="478"/>
      <c r="O329" s="478"/>
      <c r="P329" s="478"/>
      <c r="Q329" s="478"/>
      <c r="R329" s="478"/>
      <c r="S329" s="478"/>
      <c r="T329" s="478"/>
      <c r="U329" s="478"/>
      <c r="V329" s="478"/>
      <c r="W329" s="478"/>
      <c r="X329" s="478"/>
      <c r="Y329" s="478"/>
      <c r="Z329" s="478"/>
    </row>
    <row r="330" spans="1:26" ht="22.5" customHeight="1">
      <c r="A330" s="478"/>
      <c r="O330" s="478"/>
      <c r="P330" s="478"/>
      <c r="Q330" s="478"/>
      <c r="R330" s="478"/>
      <c r="S330" s="478"/>
      <c r="T330" s="478"/>
      <c r="U330" s="478"/>
      <c r="V330" s="478"/>
      <c r="W330" s="478"/>
      <c r="X330" s="478"/>
      <c r="Y330" s="478"/>
      <c r="Z330" s="478"/>
    </row>
    <row r="331" spans="1:26" ht="22.5" customHeight="1">
      <c r="A331" s="478"/>
      <c r="O331" s="478"/>
      <c r="P331" s="478"/>
      <c r="Q331" s="478"/>
      <c r="R331" s="478"/>
      <c r="S331" s="478"/>
      <c r="T331" s="478"/>
      <c r="U331" s="478"/>
      <c r="V331" s="478"/>
      <c r="W331" s="478"/>
      <c r="X331" s="478"/>
      <c r="Y331" s="478"/>
      <c r="Z331" s="478"/>
    </row>
    <row r="332" spans="1:26" ht="22.5" customHeight="1">
      <c r="A332" s="478"/>
      <c r="O332" s="478"/>
      <c r="P332" s="478"/>
      <c r="Q332" s="478"/>
      <c r="R332" s="478"/>
      <c r="S332" s="478"/>
      <c r="T332" s="478"/>
      <c r="U332" s="478"/>
      <c r="V332" s="478"/>
      <c r="W332" s="478"/>
      <c r="X332" s="478"/>
      <c r="Y332" s="478"/>
      <c r="Z332" s="478"/>
    </row>
    <row r="333" spans="1:26" ht="22.5" customHeight="1">
      <c r="A333" s="478"/>
      <c r="O333" s="478"/>
      <c r="P333" s="478"/>
      <c r="Q333" s="478"/>
      <c r="R333" s="478"/>
      <c r="S333" s="478"/>
      <c r="T333" s="478"/>
      <c r="U333" s="478"/>
      <c r="V333" s="478"/>
      <c r="W333" s="478"/>
      <c r="X333" s="478"/>
      <c r="Y333" s="478"/>
      <c r="Z333" s="478"/>
    </row>
    <row r="334" spans="1:26" ht="22.5" customHeight="1">
      <c r="A334" s="478"/>
      <c r="O334" s="478"/>
      <c r="P334" s="478"/>
      <c r="Q334" s="478"/>
      <c r="R334" s="478"/>
      <c r="S334" s="478"/>
      <c r="T334" s="478"/>
      <c r="U334" s="478"/>
      <c r="V334" s="478"/>
      <c r="W334" s="478"/>
      <c r="X334" s="478"/>
      <c r="Y334" s="478"/>
      <c r="Z334" s="478"/>
    </row>
    <row r="335" spans="1:26" ht="22.5" customHeight="1">
      <c r="A335" s="478"/>
      <c r="O335" s="478"/>
      <c r="P335" s="478"/>
      <c r="Q335" s="478"/>
      <c r="R335" s="478"/>
      <c r="S335" s="478"/>
      <c r="T335" s="478"/>
      <c r="U335" s="478"/>
      <c r="V335" s="478"/>
      <c r="W335" s="478"/>
      <c r="X335" s="478"/>
      <c r="Y335" s="478"/>
      <c r="Z335" s="478"/>
    </row>
    <row r="336" spans="1:26" ht="22.5" customHeight="1">
      <c r="A336" s="478"/>
      <c r="O336" s="478"/>
      <c r="P336" s="478"/>
      <c r="Q336" s="478"/>
      <c r="R336" s="478"/>
      <c r="S336" s="478"/>
      <c r="T336" s="478"/>
      <c r="U336" s="478"/>
      <c r="V336" s="478"/>
      <c r="W336" s="478"/>
      <c r="X336" s="478"/>
      <c r="Y336" s="478"/>
      <c r="Z336" s="478"/>
    </row>
    <row r="337" spans="1:26" ht="22.5" customHeight="1">
      <c r="A337" s="478"/>
      <c r="O337" s="478"/>
      <c r="P337" s="478"/>
      <c r="Q337" s="478"/>
      <c r="R337" s="478"/>
      <c r="S337" s="478"/>
      <c r="T337" s="478"/>
      <c r="U337" s="478"/>
      <c r="V337" s="478"/>
      <c r="W337" s="478"/>
      <c r="X337" s="478"/>
      <c r="Y337" s="478"/>
      <c r="Z337" s="478"/>
    </row>
    <row r="338" spans="1:26" ht="22.5" customHeight="1">
      <c r="A338" s="478"/>
      <c r="O338" s="478"/>
      <c r="P338" s="478"/>
      <c r="Q338" s="478"/>
      <c r="R338" s="478"/>
      <c r="S338" s="478"/>
      <c r="T338" s="478"/>
      <c r="U338" s="478"/>
      <c r="V338" s="478"/>
      <c r="W338" s="478"/>
      <c r="X338" s="478"/>
      <c r="Y338" s="478"/>
      <c r="Z338" s="478"/>
    </row>
    <row r="339" spans="1:26" ht="22.5" customHeight="1">
      <c r="A339" s="478"/>
      <c r="O339" s="478"/>
      <c r="P339" s="478"/>
      <c r="Q339" s="478"/>
      <c r="R339" s="478"/>
      <c r="S339" s="478"/>
      <c r="T339" s="478"/>
      <c r="U339" s="478"/>
      <c r="V339" s="478"/>
      <c r="W339" s="478"/>
      <c r="X339" s="478"/>
      <c r="Y339" s="478"/>
      <c r="Z339" s="478"/>
    </row>
    <row r="340" spans="1:26" ht="22.5" customHeight="1">
      <c r="A340" s="478"/>
      <c r="O340" s="478"/>
      <c r="P340" s="478"/>
      <c r="Q340" s="478"/>
      <c r="R340" s="478"/>
      <c r="S340" s="478"/>
      <c r="T340" s="478"/>
      <c r="U340" s="478"/>
      <c r="V340" s="478"/>
      <c r="W340" s="478"/>
      <c r="X340" s="478"/>
      <c r="Y340" s="478"/>
      <c r="Z340" s="478"/>
    </row>
    <row r="341" spans="1:26" ht="22.5" customHeight="1">
      <c r="A341" s="478"/>
      <c r="O341" s="478"/>
      <c r="P341" s="478"/>
      <c r="Q341" s="478"/>
      <c r="R341" s="478"/>
      <c r="S341" s="478"/>
      <c r="T341" s="478"/>
      <c r="U341" s="478"/>
      <c r="V341" s="478"/>
      <c r="W341" s="478"/>
      <c r="X341" s="478"/>
      <c r="Y341" s="478"/>
      <c r="Z341" s="478"/>
    </row>
    <row r="342" spans="1:26" ht="22.5" customHeight="1">
      <c r="A342" s="478"/>
      <c r="O342" s="478"/>
      <c r="P342" s="478"/>
      <c r="Q342" s="478"/>
      <c r="R342" s="478"/>
      <c r="S342" s="478"/>
      <c r="T342" s="478"/>
      <c r="U342" s="478"/>
      <c r="V342" s="478"/>
      <c r="W342" s="478"/>
      <c r="X342" s="478"/>
      <c r="Y342" s="478"/>
      <c r="Z342" s="478"/>
    </row>
    <row r="343" spans="1:26" ht="22.5" customHeight="1">
      <c r="A343" s="478"/>
      <c r="O343" s="478"/>
      <c r="P343" s="478"/>
      <c r="Q343" s="478"/>
      <c r="R343" s="478"/>
      <c r="S343" s="478"/>
      <c r="T343" s="478"/>
      <c r="U343" s="478"/>
      <c r="V343" s="478"/>
      <c r="W343" s="478"/>
      <c r="X343" s="478"/>
      <c r="Y343" s="478"/>
      <c r="Z343" s="478"/>
    </row>
    <row r="344" spans="1:26" ht="22.5" customHeight="1">
      <c r="A344" s="478"/>
      <c r="O344" s="478"/>
      <c r="P344" s="478"/>
      <c r="Q344" s="478"/>
      <c r="R344" s="478"/>
      <c r="S344" s="478"/>
      <c r="T344" s="478"/>
      <c r="U344" s="478"/>
      <c r="V344" s="478"/>
      <c r="W344" s="478"/>
      <c r="X344" s="478"/>
      <c r="Y344" s="478"/>
      <c r="Z344" s="478"/>
    </row>
    <row r="345" spans="1:26" ht="22.5" customHeight="1">
      <c r="A345" s="478"/>
      <c r="O345" s="478"/>
      <c r="P345" s="478"/>
      <c r="Q345" s="478"/>
      <c r="R345" s="478"/>
      <c r="S345" s="478"/>
      <c r="T345" s="478"/>
      <c r="U345" s="478"/>
      <c r="V345" s="478"/>
      <c r="W345" s="478"/>
      <c r="X345" s="478"/>
      <c r="Y345" s="478"/>
      <c r="Z345" s="478"/>
    </row>
    <row r="346" spans="1:26" ht="22.5" customHeight="1">
      <c r="A346" s="478"/>
      <c r="O346" s="478"/>
      <c r="P346" s="478"/>
      <c r="Q346" s="478"/>
      <c r="R346" s="478"/>
      <c r="S346" s="478"/>
      <c r="T346" s="478"/>
      <c r="U346" s="478"/>
      <c r="V346" s="478"/>
      <c r="W346" s="478"/>
      <c r="X346" s="478"/>
      <c r="Y346" s="478"/>
      <c r="Z346" s="478"/>
    </row>
    <row r="347" spans="1:26" ht="22.5" customHeight="1">
      <c r="A347" s="478"/>
      <c r="O347" s="478"/>
      <c r="P347" s="478"/>
      <c r="Q347" s="478"/>
      <c r="R347" s="478"/>
      <c r="S347" s="478"/>
      <c r="T347" s="478"/>
      <c r="U347" s="478"/>
      <c r="V347" s="478"/>
      <c r="W347" s="478"/>
      <c r="X347" s="478"/>
      <c r="Y347" s="478"/>
      <c r="Z347" s="478"/>
    </row>
    <row r="348" spans="1:26" ht="22.5" customHeight="1">
      <c r="A348" s="478"/>
      <c r="O348" s="478"/>
      <c r="P348" s="478"/>
      <c r="Q348" s="478"/>
      <c r="R348" s="478"/>
      <c r="S348" s="478"/>
      <c r="T348" s="478"/>
      <c r="U348" s="478"/>
      <c r="V348" s="478"/>
      <c r="W348" s="478"/>
      <c r="X348" s="478"/>
      <c r="Y348" s="478"/>
      <c r="Z348" s="478"/>
    </row>
    <row r="349" spans="1:26" ht="22.5" customHeight="1">
      <c r="A349" s="478"/>
      <c r="O349" s="478"/>
      <c r="P349" s="478"/>
      <c r="Q349" s="478"/>
      <c r="R349" s="478"/>
      <c r="S349" s="478"/>
      <c r="T349" s="478"/>
      <c r="U349" s="478"/>
      <c r="V349" s="478"/>
      <c r="W349" s="478"/>
      <c r="X349" s="478"/>
      <c r="Y349" s="478"/>
      <c r="Z349" s="478"/>
    </row>
    <row r="350" spans="1:26" ht="22.5" customHeight="1">
      <c r="A350" s="478"/>
      <c r="O350" s="478"/>
      <c r="P350" s="478"/>
      <c r="Q350" s="478"/>
      <c r="R350" s="478"/>
      <c r="S350" s="478"/>
      <c r="T350" s="478"/>
      <c r="U350" s="478"/>
      <c r="V350" s="478"/>
      <c r="W350" s="478"/>
      <c r="X350" s="478"/>
      <c r="Y350" s="478"/>
      <c r="Z350" s="478"/>
    </row>
    <row r="351" spans="1:26" ht="22.5" customHeight="1">
      <c r="A351" s="478"/>
      <c r="O351" s="478"/>
      <c r="P351" s="478"/>
      <c r="Q351" s="478"/>
      <c r="R351" s="478"/>
      <c r="S351" s="478"/>
      <c r="T351" s="478"/>
      <c r="U351" s="478"/>
      <c r="V351" s="478"/>
      <c r="W351" s="478"/>
      <c r="X351" s="478"/>
      <c r="Y351" s="478"/>
      <c r="Z351" s="478"/>
    </row>
    <row r="352" spans="1:26" ht="22.5" customHeight="1">
      <c r="A352" s="478"/>
      <c r="O352" s="478"/>
      <c r="P352" s="478"/>
      <c r="Q352" s="478"/>
      <c r="R352" s="478"/>
      <c r="S352" s="478"/>
      <c r="T352" s="478"/>
      <c r="U352" s="478"/>
      <c r="V352" s="478"/>
      <c r="W352" s="478"/>
      <c r="X352" s="478"/>
      <c r="Y352" s="478"/>
      <c r="Z352" s="478"/>
    </row>
    <row r="353" spans="1:26" ht="22.5" customHeight="1">
      <c r="A353" s="478"/>
      <c r="O353" s="478"/>
      <c r="P353" s="478"/>
      <c r="Q353" s="478"/>
      <c r="R353" s="478"/>
      <c r="S353" s="478"/>
      <c r="T353" s="478"/>
      <c r="U353" s="478"/>
      <c r="V353" s="478"/>
      <c r="W353" s="478"/>
      <c r="X353" s="478"/>
      <c r="Y353" s="478"/>
      <c r="Z353" s="478"/>
    </row>
    <row r="354" spans="1:26" ht="22.5" customHeight="1">
      <c r="A354" s="478"/>
      <c r="O354" s="478"/>
      <c r="P354" s="478"/>
      <c r="Q354" s="478"/>
      <c r="R354" s="478"/>
      <c r="S354" s="478"/>
      <c r="T354" s="478"/>
      <c r="U354" s="478"/>
      <c r="V354" s="478"/>
      <c r="W354" s="478"/>
      <c r="X354" s="478"/>
      <c r="Y354" s="478"/>
      <c r="Z354" s="478"/>
    </row>
    <row r="355" spans="1:26" ht="22.5" customHeight="1">
      <c r="A355" s="478"/>
      <c r="O355" s="478"/>
      <c r="P355" s="478"/>
      <c r="Q355" s="478"/>
      <c r="R355" s="478"/>
      <c r="S355" s="478"/>
      <c r="T355" s="478"/>
      <c r="U355" s="478"/>
      <c r="V355" s="478"/>
      <c r="W355" s="478"/>
      <c r="X355" s="478"/>
      <c r="Y355" s="478"/>
      <c r="Z355" s="478"/>
    </row>
    <row r="356" spans="1:26" ht="22.5" customHeight="1">
      <c r="A356" s="478"/>
      <c r="O356" s="478"/>
      <c r="P356" s="478"/>
      <c r="Q356" s="478"/>
      <c r="R356" s="478"/>
      <c r="S356" s="478"/>
      <c r="T356" s="478"/>
      <c r="U356" s="478"/>
      <c r="V356" s="478"/>
      <c r="W356" s="478"/>
      <c r="X356" s="478"/>
      <c r="Y356" s="478"/>
      <c r="Z356" s="478"/>
    </row>
    <row r="357" spans="1:26" ht="22.5" customHeight="1">
      <c r="A357" s="478"/>
      <c r="O357" s="478"/>
      <c r="P357" s="478"/>
      <c r="Q357" s="478"/>
      <c r="R357" s="478"/>
      <c r="S357" s="478"/>
      <c r="T357" s="478"/>
      <c r="U357" s="478"/>
      <c r="V357" s="478"/>
      <c r="W357" s="478"/>
      <c r="X357" s="478"/>
      <c r="Y357" s="478"/>
      <c r="Z357" s="478"/>
    </row>
    <row r="358" spans="1:26" ht="22.5" customHeight="1">
      <c r="A358" s="478"/>
      <c r="O358" s="478"/>
      <c r="P358" s="478"/>
      <c r="Q358" s="478"/>
      <c r="R358" s="478"/>
      <c r="S358" s="478"/>
      <c r="T358" s="478"/>
      <c r="U358" s="478"/>
      <c r="V358" s="478"/>
      <c r="W358" s="478"/>
      <c r="X358" s="478"/>
      <c r="Y358" s="478"/>
      <c r="Z358" s="478"/>
    </row>
    <row r="359" spans="1:26" ht="22.5" customHeight="1">
      <c r="A359" s="478"/>
      <c r="O359" s="478"/>
      <c r="P359" s="478"/>
      <c r="Q359" s="478"/>
      <c r="R359" s="478"/>
      <c r="S359" s="478"/>
      <c r="T359" s="478"/>
      <c r="U359" s="478"/>
      <c r="V359" s="478"/>
      <c r="W359" s="478"/>
      <c r="X359" s="478"/>
      <c r="Y359" s="478"/>
      <c r="Z359" s="478"/>
    </row>
    <row r="360" spans="1:26" ht="22.5" customHeight="1">
      <c r="A360" s="478"/>
      <c r="O360" s="478"/>
      <c r="P360" s="478"/>
      <c r="Q360" s="478"/>
      <c r="R360" s="478"/>
      <c r="S360" s="478"/>
      <c r="T360" s="478"/>
      <c r="U360" s="478"/>
      <c r="V360" s="478"/>
      <c r="W360" s="478"/>
      <c r="X360" s="478"/>
      <c r="Y360" s="478"/>
      <c r="Z360" s="478"/>
    </row>
    <row r="361" spans="1:26" ht="22.5" customHeight="1">
      <c r="A361" s="478"/>
      <c r="O361" s="478"/>
      <c r="P361" s="478"/>
      <c r="Q361" s="478"/>
      <c r="R361" s="478"/>
      <c r="S361" s="478"/>
      <c r="T361" s="478"/>
      <c r="U361" s="478"/>
      <c r="V361" s="478"/>
      <c r="W361" s="478"/>
      <c r="X361" s="478"/>
      <c r="Y361" s="478"/>
      <c r="Z361" s="478"/>
    </row>
    <row r="362" spans="1:26" ht="22.5" customHeight="1">
      <c r="A362" s="478"/>
      <c r="O362" s="478"/>
      <c r="P362" s="478"/>
      <c r="Q362" s="478"/>
      <c r="R362" s="478"/>
      <c r="S362" s="478"/>
      <c r="T362" s="478"/>
      <c r="U362" s="478"/>
      <c r="V362" s="478"/>
      <c r="W362" s="478"/>
      <c r="X362" s="478"/>
      <c r="Y362" s="478"/>
      <c r="Z362" s="478"/>
    </row>
    <row r="363" spans="1:26" ht="22.5" customHeight="1">
      <c r="A363" s="478"/>
      <c r="O363" s="478"/>
      <c r="P363" s="478"/>
      <c r="Q363" s="478"/>
      <c r="R363" s="478"/>
      <c r="S363" s="478"/>
      <c r="T363" s="478"/>
      <c r="U363" s="478"/>
      <c r="V363" s="478"/>
      <c r="W363" s="478"/>
      <c r="X363" s="478"/>
      <c r="Y363" s="478"/>
      <c r="Z363" s="478"/>
    </row>
    <row r="364" spans="1:26" ht="22.5" customHeight="1">
      <c r="A364" s="478"/>
      <c r="O364" s="478"/>
      <c r="P364" s="478"/>
      <c r="Q364" s="478"/>
      <c r="R364" s="478"/>
      <c r="S364" s="478"/>
      <c r="T364" s="478"/>
      <c r="U364" s="478"/>
      <c r="V364" s="478"/>
      <c r="W364" s="478"/>
      <c r="X364" s="478"/>
      <c r="Y364" s="478"/>
      <c r="Z364" s="478"/>
    </row>
    <row r="365" spans="1:26" ht="22.5" customHeight="1">
      <c r="A365" s="478"/>
      <c r="O365" s="478"/>
      <c r="P365" s="478"/>
      <c r="Q365" s="478"/>
      <c r="R365" s="478"/>
      <c r="S365" s="478"/>
      <c r="T365" s="478"/>
      <c r="U365" s="478"/>
      <c r="V365" s="478"/>
      <c r="W365" s="478"/>
      <c r="X365" s="478"/>
      <c r="Y365" s="478"/>
      <c r="Z365" s="478"/>
    </row>
    <row r="366" spans="1:26" ht="22.5" customHeight="1">
      <c r="A366" s="478"/>
      <c r="O366" s="478"/>
      <c r="P366" s="478"/>
      <c r="Q366" s="478"/>
      <c r="R366" s="478"/>
      <c r="S366" s="478"/>
      <c r="T366" s="478"/>
      <c r="U366" s="478"/>
      <c r="V366" s="478"/>
      <c r="W366" s="478"/>
      <c r="X366" s="478"/>
      <c r="Y366" s="478"/>
      <c r="Z366" s="478"/>
    </row>
    <row r="367" spans="1:26" ht="22.5" customHeight="1">
      <c r="A367" s="478"/>
      <c r="O367" s="478"/>
      <c r="P367" s="478"/>
      <c r="Q367" s="478"/>
      <c r="R367" s="478"/>
      <c r="S367" s="478"/>
      <c r="T367" s="478"/>
      <c r="U367" s="478"/>
      <c r="V367" s="478"/>
      <c r="W367" s="478"/>
      <c r="X367" s="478"/>
      <c r="Y367" s="478"/>
      <c r="Z367" s="478"/>
    </row>
    <row r="368" spans="1:26" ht="22.5" customHeight="1">
      <c r="A368" s="478"/>
      <c r="O368" s="478"/>
      <c r="P368" s="478"/>
      <c r="Q368" s="478"/>
      <c r="R368" s="478"/>
      <c r="S368" s="478"/>
      <c r="T368" s="478"/>
      <c r="U368" s="478"/>
      <c r="V368" s="478"/>
      <c r="W368" s="478"/>
      <c r="X368" s="478"/>
      <c r="Y368" s="478"/>
      <c r="Z368" s="478"/>
    </row>
    <row r="369" spans="1:26" ht="22.5" customHeight="1">
      <c r="A369" s="478"/>
      <c r="O369" s="478"/>
      <c r="P369" s="478"/>
      <c r="Q369" s="478"/>
      <c r="R369" s="478"/>
      <c r="S369" s="478"/>
      <c r="T369" s="478"/>
      <c r="U369" s="478"/>
      <c r="V369" s="478"/>
      <c r="W369" s="478"/>
      <c r="X369" s="478"/>
      <c r="Y369" s="478"/>
      <c r="Z369" s="478"/>
    </row>
    <row r="370" spans="1:26" ht="22.5" customHeight="1">
      <c r="A370" s="478"/>
      <c r="O370" s="478"/>
      <c r="P370" s="478"/>
      <c r="Q370" s="478"/>
      <c r="R370" s="478"/>
      <c r="S370" s="478"/>
      <c r="T370" s="478"/>
      <c r="U370" s="478"/>
      <c r="V370" s="478"/>
      <c r="W370" s="478"/>
      <c r="X370" s="478"/>
      <c r="Y370" s="478"/>
      <c r="Z370" s="478"/>
    </row>
    <row r="371" spans="1:26" ht="22.5" customHeight="1">
      <c r="A371" s="478"/>
      <c r="O371" s="478"/>
      <c r="P371" s="478"/>
      <c r="Q371" s="478"/>
      <c r="R371" s="478"/>
      <c r="S371" s="478"/>
      <c r="T371" s="478"/>
      <c r="U371" s="478"/>
      <c r="V371" s="478"/>
      <c r="W371" s="478"/>
      <c r="X371" s="478"/>
      <c r="Y371" s="478"/>
      <c r="Z371" s="478"/>
    </row>
    <row r="372" spans="1:26" ht="22.5" customHeight="1">
      <c r="A372" s="478"/>
      <c r="O372" s="478"/>
      <c r="P372" s="478"/>
      <c r="Q372" s="478"/>
      <c r="R372" s="478"/>
      <c r="S372" s="478"/>
      <c r="T372" s="478"/>
      <c r="U372" s="478"/>
      <c r="V372" s="478"/>
      <c r="W372" s="478"/>
      <c r="X372" s="478"/>
      <c r="Y372" s="478"/>
      <c r="Z372" s="478"/>
    </row>
    <row r="373" spans="1:26" ht="22.5" customHeight="1">
      <c r="A373" s="478"/>
      <c r="O373" s="478"/>
      <c r="P373" s="478"/>
      <c r="Q373" s="478"/>
      <c r="R373" s="478"/>
      <c r="S373" s="478"/>
      <c r="T373" s="478"/>
      <c r="U373" s="478"/>
      <c r="V373" s="478"/>
      <c r="W373" s="478"/>
      <c r="X373" s="478"/>
      <c r="Y373" s="478"/>
      <c r="Z373" s="478"/>
    </row>
    <row r="374" spans="1:26" ht="22.5" customHeight="1">
      <c r="A374" s="478"/>
      <c r="O374" s="478"/>
      <c r="P374" s="478"/>
      <c r="Q374" s="478"/>
      <c r="R374" s="478"/>
      <c r="S374" s="478"/>
      <c r="T374" s="478"/>
      <c r="U374" s="478"/>
      <c r="V374" s="478"/>
      <c r="W374" s="478"/>
      <c r="X374" s="478"/>
      <c r="Y374" s="478"/>
      <c r="Z374" s="478"/>
    </row>
    <row r="375" spans="1:26" ht="22.5" customHeight="1">
      <c r="A375" s="478"/>
      <c r="O375" s="478"/>
      <c r="P375" s="478"/>
      <c r="Q375" s="478"/>
      <c r="R375" s="478"/>
      <c r="S375" s="478"/>
      <c r="T375" s="478"/>
      <c r="U375" s="478"/>
      <c r="V375" s="478"/>
      <c r="W375" s="478"/>
      <c r="X375" s="478"/>
      <c r="Y375" s="478"/>
      <c r="Z375" s="478"/>
    </row>
    <row r="376" spans="1:26" ht="22.5" customHeight="1">
      <c r="A376" s="478"/>
      <c r="O376" s="478"/>
      <c r="P376" s="478"/>
      <c r="Q376" s="478"/>
      <c r="R376" s="478"/>
      <c r="S376" s="478"/>
      <c r="T376" s="478"/>
      <c r="U376" s="478"/>
      <c r="V376" s="478"/>
      <c r="W376" s="478"/>
      <c r="X376" s="478"/>
      <c r="Y376" s="478"/>
      <c r="Z376" s="478"/>
    </row>
    <row r="377" spans="1:26" ht="22.5" customHeight="1">
      <c r="A377" s="478"/>
      <c r="O377" s="478"/>
      <c r="P377" s="478"/>
      <c r="Q377" s="478"/>
      <c r="R377" s="478"/>
      <c r="S377" s="478"/>
      <c r="T377" s="478"/>
      <c r="U377" s="478"/>
      <c r="V377" s="478"/>
      <c r="W377" s="478"/>
      <c r="X377" s="478"/>
      <c r="Y377" s="478"/>
      <c r="Z377" s="478"/>
    </row>
    <row r="378" spans="1:26" ht="22.5" customHeight="1">
      <c r="A378" s="478"/>
      <c r="O378" s="478"/>
      <c r="P378" s="478"/>
      <c r="Q378" s="478"/>
      <c r="R378" s="478"/>
      <c r="S378" s="478"/>
      <c r="T378" s="478"/>
      <c r="U378" s="478"/>
      <c r="V378" s="478"/>
      <c r="W378" s="478"/>
      <c r="X378" s="478"/>
      <c r="Y378" s="478"/>
      <c r="Z378" s="478"/>
    </row>
    <row r="379" spans="1:26" ht="22.5" customHeight="1">
      <c r="A379" s="478"/>
      <c r="O379" s="478"/>
      <c r="P379" s="478"/>
      <c r="Q379" s="478"/>
      <c r="R379" s="478"/>
      <c r="S379" s="478"/>
      <c r="T379" s="478"/>
      <c r="U379" s="478"/>
      <c r="V379" s="478"/>
      <c r="W379" s="478"/>
      <c r="X379" s="478"/>
      <c r="Y379" s="478"/>
      <c r="Z379" s="478"/>
    </row>
    <row r="380" spans="1:26" ht="22.5" customHeight="1">
      <c r="A380" s="478"/>
      <c r="O380" s="478"/>
      <c r="P380" s="478"/>
      <c r="Q380" s="478"/>
      <c r="R380" s="478"/>
      <c r="S380" s="478"/>
      <c r="T380" s="478"/>
      <c r="U380" s="478"/>
      <c r="V380" s="478"/>
      <c r="W380" s="478"/>
      <c r="X380" s="478"/>
      <c r="Y380" s="478"/>
      <c r="Z380" s="478"/>
    </row>
    <row r="381" spans="1:26" ht="22.5" customHeight="1">
      <c r="A381" s="478"/>
      <c r="O381" s="478"/>
      <c r="P381" s="478"/>
      <c r="Q381" s="478"/>
      <c r="R381" s="478"/>
      <c r="S381" s="478"/>
      <c r="T381" s="478"/>
      <c r="U381" s="478"/>
      <c r="V381" s="478"/>
      <c r="W381" s="478"/>
      <c r="X381" s="478"/>
      <c r="Y381" s="478"/>
      <c r="Z381" s="478"/>
    </row>
    <row r="382" spans="1:26" ht="22.5" customHeight="1">
      <c r="A382" s="478"/>
      <c r="O382" s="478"/>
      <c r="P382" s="478"/>
      <c r="Q382" s="478"/>
      <c r="R382" s="478"/>
      <c r="S382" s="478"/>
      <c r="T382" s="478"/>
      <c r="U382" s="478"/>
      <c r="V382" s="478"/>
      <c r="W382" s="478"/>
      <c r="X382" s="478"/>
      <c r="Y382" s="478"/>
      <c r="Z382" s="478"/>
    </row>
    <row r="383" spans="1:26" ht="22.5" customHeight="1">
      <c r="A383" s="478"/>
      <c r="O383" s="478"/>
      <c r="P383" s="478"/>
      <c r="Q383" s="478"/>
      <c r="R383" s="478"/>
      <c r="S383" s="478"/>
      <c r="T383" s="478"/>
      <c r="U383" s="478"/>
      <c r="V383" s="478"/>
      <c r="W383" s="478"/>
      <c r="X383" s="478"/>
      <c r="Y383" s="478"/>
      <c r="Z383" s="478"/>
    </row>
    <row r="384" spans="1:26" ht="22.5" customHeight="1">
      <c r="A384" s="478"/>
      <c r="O384" s="478"/>
      <c r="P384" s="478"/>
      <c r="Q384" s="478"/>
      <c r="R384" s="478"/>
      <c r="S384" s="478"/>
      <c r="T384" s="478"/>
      <c r="U384" s="478"/>
      <c r="V384" s="478"/>
      <c r="W384" s="478"/>
      <c r="X384" s="478"/>
      <c r="Y384" s="478"/>
      <c r="Z384" s="478"/>
    </row>
    <row r="385" spans="1:26" ht="22.5" customHeight="1">
      <c r="A385" s="478"/>
      <c r="O385" s="478"/>
      <c r="P385" s="478"/>
      <c r="Q385" s="478"/>
      <c r="R385" s="478"/>
      <c r="S385" s="478"/>
      <c r="T385" s="478"/>
      <c r="U385" s="478"/>
      <c r="V385" s="478"/>
      <c r="W385" s="478"/>
      <c r="X385" s="478"/>
      <c r="Y385" s="478"/>
      <c r="Z385" s="478"/>
    </row>
    <row r="386" spans="1:26" ht="22.5" customHeight="1">
      <c r="A386" s="478"/>
      <c r="O386" s="478"/>
      <c r="P386" s="478"/>
      <c r="Q386" s="478"/>
      <c r="R386" s="478"/>
      <c r="S386" s="478"/>
      <c r="T386" s="478"/>
      <c r="U386" s="478"/>
      <c r="V386" s="478"/>
      <c r="W386" s="478"/>
      <c r="X386" s="478"/>
      <c r="Y386" s="478"/>
      <c r="Z386" s="478"/>
    </row>
    <row r="387" spans="1:26" ht="22.5" customHeight="1">
      <c r="A387" s="478"/>
      <c r="O387" s="478"/>
      <c r="P387" s="478"/>
      <c r="Q387" s="478"/>
      <c r="R387" s="478"/>
      <c r="S387" s="478"/>
      <c r="T387" s="478"/>
      <c r="U387" s="478"/>
      <c r="V387" s="478"/>
      <c r="W387" s="478"/>
      <c r="X387" s="478"/>
      <c r="Y387" s="478"/>
      <c r="Z387" s="478"/>
    </row>
    <row r="388" spans="1:26" ht="22.5" customHeight="1">
      <c r="A388" s="478"/>
      <c r="O388" s="478"/>
      <c r="P388" s="478"/>
      <c r="Q388" s="478"/>
      <c r="R388" s="478"/>
      <c r="S388" s="478"/>
      <c r="T388" s="478"/>
      <c r="U388" s="478"/>
      <c r="V388" s="478"/>
      <c r="W388" s="478"/>
      <c r="X388" s="478"/>
      <c r="Y388" s="478"/>
      <c r="Z388" s="478"/>
    </row>
    <row r="389" spans="1:26" ht="22.5" customHeight="1">
      <c r="A389" s="478"/>
      <c r="O389" s="478"/>
      <c r="P389" s="478"/>
      <c r="Q389" s="478"/>
      <c r="R389" s="478"/>
      <c r="S389" s="478"/>
      <c r="T389" s="478"/>
      <c r="U389" s="478"/>
      <c r="V389" s="478"/>
      <c r="W389" s="478"/>
      <c r="X389" s="478"/>
      <c r="Y389" s="478"/>
      <c r="Z389" s="478"/>
    </row>
    <row r="390" spans="1:26" ht="22.5" customHeight="1">
      <c r="A390" s="478"/>
      <c r="O390" s="478"/>
      <c r="P390" s="478"/>
      <c r="Q390" s="478"/>
      <c r="R390" s="478"/>
      <c r="S390" s="478"/>
      <c r="T390" s="478"/>
      <c r="U390" s="478"/>
      <c r="V390" s="478"/>
      <c r="W390" s="478"/>
      <c r="X390" s="478"/>
      <c r="Y390" s="478"/>
      <c r="Z390" s="478"/>
    </row>
    <row r="391" spans="1:26" ht="22.5" customHeight="1">
      <c r="A391" s="478"/>
      <c r="O391" s="478"/>
      <c r="P391" s="478"/>
      <c r="Q391" s="478"/>
      <c r="R391" s="478"/>
      <c r="S391" s="478"/>
      <c r="T391" s="478"/>
      <c r="U391" s="478"/>
      <c r="V391" s="478"/>
      <c r="W391" s="478"/>
      <c r="X391" s="478"/>
      <c r="Y391" s="478"/>
      <c r="Z391" s="478"/>
    </row>
    <row r="392" spans="1:26" ht="22.5" customHeight="1">
      <c r="A392" s="478"/>
      <c r="O392" s="478"/>
      <c r="P392" s="478"/>
      <c r="Q392" s="478"/>
      <c r="R392" s="478"/>
      <c r="S392" s="478"/>
      <c r="T392" s="478"/>
      <c r="U392" s="478"/>
      <c r="V392" s="478"/>
      <c r="W392" s="478"/>
      <c r="X392" s="478"/>
      <c r="Y392" s="478"/>
      <c r="Z392" s="478"/>
    </row>
    <row r="393" spans="1:26" ht="22.5" customHeight="1">
      <c r="A393" s="478"/>
      <c r="O393" s="478"/>
      <c r="P393" s="478"/>
      <c r="Q393" s="478"/>
      <c r="R393" s="478"/>
      <c r="S393" s="478"/>
      <c r="T393" s="478"/>
      <c r="U393" s="478"/>
      <c r="V393" s="478"/>
      <c r="W393" s="478"/>
      <c r="X393" s="478"/>
      <c r="Y393" s="478"/>
      <c r="Z393" s="478"/>
    </row>
    <row r="394" spans="1:26" ht="22.5" customHeight="1">
      <c r="A394" s="478"/>
      <c r="O394" s="478"/>
      <c r="P394" s="478"/>
      <c r="Q394" s="478"/>
      <c r="R394" s="478"/>
      <c r="S394" s="478"/>
      <c r="T394" s="478"/>
      <c r="U394" s="478"/>
      <c r="V394" s="478"/>
      <c r="W394" s="478"/>
      <c r="X394" s="478"/>
      <c r="Y394" s="478"/>
      <c r="Z394" s="478"/>
    </row>
    <row r="395" spans="1:26" ht="22.5" customHeight="1">
      <c r="A395" s="478"/>
      <c r="O395" s="478"/>
      <c r="P395" s="478"/>
      <c r="Q395" s="478"/>
      <c r="R395" s="478"/>
      <c r="S395" s="478"/>
      <c r="T395" s="478"/>
      <c r="U395" s="478"/>
      <c r="V395" s="478"/>
      <c r="W395" s="478"/>
      <c r="X395" s="478"/>
      <c r="Y395" s="478"/>
      <c r="Z395" s="478"/>
    </row>
    <row r="396" spans="1:26" ht="22.5" customHeight="1">
      <c r="A396" s="478"/>
      <c r="O396" s="478"/>
      <c r="P396" s="478"/>
      <c r="Q396" s="478"/>
      <c r="R396" s="478"/>
      <c r="S396" s="478"/>
      <c r="T396" s="478"/>
      <c r="U396" s="478"/>
      <c r="V396" s="478"/>
      <c r="W396" s="478"/>
      <c r="X396" s="478"/>
      <c r="Y396" s="478"/>
      <c r="Z396" s="478"/>
    </row>
    <row r="397" spans="1:26" ht="22.5" customHeight="1">
      <c r="A397" s="478"/>
      <c r="O397" s="478"/>
      <c r="P397" s="478"/>
      <c r="Q397" s="478"/>
      <c r="R397" s="478"/>
      <c r="S397" s="478"/>
      <c r="T397" s="478"/>
      <c r="U397" s="478"/>
      <c r="V397" s="478"/>
      <c r="W397" s="478"/>
      <c r="X397" s="478"/>
      <c r="Y397" s="478"/>
      <c r="Z397" s="478"/>
    </row>
    <row r="398" spans="1:26" ht="22.5" customHeight="1">
      <c r="A398" s="478"/>
      <c r="O398" s="478"/>
      <c r="P398" s="478"/>
      <c r="Q398" s="478"/>
      <c r="R398" s="478"/>
      <c r="S398" s="478"/>
      <c r="T398" s="478"/>
      <c r="U398" s="478"/>
      <c r="V398" s="478"/>
      <c r="W398" s="478"/>
      <c r="X398" s="478"/>
      <c r="Y398" s="478"/>
      <c r="Z398" s="478"/>
    </row>
    <row r="399" spans="1:26" ht="22.5" customHeight="1">
      <c r="A399" s="478"/>
      <c r="O399" s="478"/>
      <c r="P399" s="478"/>
      <c r="Q399" s="478"/>
      <c r="R399" s="478"/>
      <c r="S399" s="478"/>
      <c r="T399" s="478"/>
      <c r="U399" s="478"/>
      <c r="V399" s="478"/>
      <c r="W399" s="478"/>
      <c r="X399" s="478"/>
      <c r="Y399" s="478"/>
      <c r="Z399" s="478"/>
    </row>
    <row r="400" spans="1:26" ht="22.5" customHeight="1">
      <c r="A400" s="478"/>
      <c r="O400" s="478"/>
      <c r="P400" s="478"/>
      <c r="Q400" s="478"/>
      <c r="R400" s="478"/>
      <c r="S400" s="478"/>
      <c r="T400" s="478"/>
      <c r="U400" s="478"/>
      <c r="V400" s="478"/>
      <c r="W400" s="478"/>
      <c r="X400" s="478"/>
      <c r="Y400" s="478"/>
      <c r="Z400" s="478"/>
    </row>
    <row r="401" spans="1:26" ht="22.5" customHeight="1">
      <c r="A401" s="478"/>
      <c r="O401" s="478"/>
      <c r="P401" s="478"/>
      <c r="Q401" s="478"/>
      <c r="R401" s="478"/>
      <c r="S401" s="478"/>
      <c r="T401" s="478"/>
      <c r="U401" s="478"/>
      <c r="V401" s="478"/>
      <c r="W401" s="478"/>
      <c r="X401" s="478"/>
      <c r="Y401" s="478"/>
      <c r="Z401" s="478"/>
    </row>
    <row r="402" spans="1:26" ht="22.5" customHeight="1">
      <c r="A402" s="478"/>
      <c r="O402" s="478"/>
      <c r="P402" s="478"/>
      <c r="Q402" s="478"/>
      <c r="R402" s="478"/>
      <c r="S402" s="478"/>
      <c r="T402" s="478"/>
      <c r="U402" s="478"/>
      <c r="V402" s="478"/>
      <c r="W402" s="478"/>
      <c r="X402" s="478"/>
      <c r="Y402" s="478"/>
      <c r="Z402" s="478"/>
    </row>
    <row r="403" spans="1:26" ht="22.5" customHeight="1">
      <c r="A403" s="478"/>
      <c r="O403" s="478"/>
      <c r="P403" s="478"/>
      <c r="Q403" s="478"/>
      <c r="R403" s="478"/>
      <c r="S403" s="478"/>
      <c r="T403" s="478"/>
      <c r="U403" s="478"/>
      <c r="V403" s="478"/>
      <c r="W403" s="478"/>
      <c r="X403" s="478"/>
      <c r="Y403" s="478"/>
      <c r="Z403" s="478"/>
    </row>
    <row r="404" spans="1:26" ht="22.5" customHeight="1">
      <c r="A404" s="478"/>
      <c r="O404" s="478"/>
      <c r="P404" s="478"/>
      <c r="Q404" s="478"/>
      <c r="R404" s="478"/>
      <c r="S404" s="478"/>
      <c r="T404" s="478"/>
      <c r="U404" s="478"/>
      <c r="V404" s="478"/>
      <c r="W404" s="478"/>
      <c r="X404" s="478"/>
      <c r="Y404" s="478"/>
      <c r="Z404" s="478"/>
    </row>
    <row r="405" spans="1:26" ht="22.5" customHeight="1">
      <c r="A405" s="478"/>
      <c r="O405" s="478"/>
      <c r="P405" s="478"/>
      <c r="Q405" s="478"/>
      <c r="R405" s="478"/>
      <c r="S405" s="478"/>
      <c r="T405" s="478"/>
      <c r="U405" s="478"/>
      <c r="V405" s="478"/>
      <c r="W405" s="478"/>
      <c r="X405" s="478"/>
      <c r="Y405" s="478"/>
      <c r="Z405" s="478"/>
    </row>
    <row r="406" spans="1:26" ht="22.5" customHeight="1">
      <c r="A406" s="478"/>
      <c r="O406" s="478"/>
      <c r="P406" s="478"/>
      <c r="Q406" s="478"/>
      <c r="R406" s="478"/>
      <c r="S406" s="478"/>
      <c r="T406" s="478"/>
      <c r="U406" s="478"/>
      <c r="V406" s="478"/>
      <c r="W406" s="478"/>
      <c r="X406" s="478"/>
      <c r="Y406" s="478"/>
      <c r="Z406" s="478"/>
    </row>
    <row r="407" spans="1:26" ht="22.5" customHeight="1">
      <c r="A407" s="478"/>
      <c r="O407" s="478"/>
      <c r="P407" s="478"/>
      <c r="Q407" s="478"/>
      <c r="R407" s="478"/>
      <c r="S407" s="478"/>
      <c r="T407" s="478"/>
      <c r="U407" s="478"/>
      <c r="V407" s="478"/>
      <c r="W407" s="478"/>
      <c r="X407" s="478"/>
      <c r="Y407" s="478"/>
      <c r="Z407" s="478"/>
    </row>
    <row r="408" spans="1:26" ht="22.5" customHeight="1">
      <c r="A408" s="478"/>
      <c r="O408" s="478"/>
      <c r="P408" s="478"/>
      <c r="Q408" s="478"/>
      <c r="R408" s="478"/>
      <c r="S408" s="478"/>
      <c r="T408" s="478"/>
      <c r="U408" s="478"/>
      <c r="V408" s="478"/>
      <c r="W408" s="478"/>
      <c r="X408" s="478"/>
      <c r="Y408" s="478"/>
      <c r="Z408" s="478"/>
    </row>
    <row r="409" spans="1:26" ht="22.5" customHeight="1">
      <c r="A409" s="478"/>
      <c r="O409" s="478"/>
      <c r="P409" s="478"/>
      <c r="Q409" s="478"/>
      <c r="R409" s="478"/>
      <c r="S409" s="478"/>
      <c r="T409" s="478"/>
      <c r="U409" s="478"/>
      <c r="V409" s="478"/>
      <c r="W409" s="478"/>
      <c r="X409" s="478"/>
      <c r="Y409" s="478"/>
      <c r="Z409" s="478"/>
    </row>
    <row r="410" spans="1:26" ht="22.5" customHeight="1">
      <c r="A410" s="478"/>
      <c r="O410" s="478"/>
      <c r="P410" s="478"/>
      <c r="Q410" s="478"/>
      <c r="R410" s="478"/>
      <c r="S410" s="478"/>
      <c r="T410" s="478"/>
      <c r="U410" s="478"/>
      <c r="V410" s="478"/>
      <c r="W410" s="478"/>
      <c r="X410" s="478"/>
      <c r="Y410" s="478"/>
      <c r="Z410" s="478"/>
    </row>
    <row r="411" spans="1:26" ht="22.5" customHeight="1">
      <c r="A411" s="478"/>
      <c r="O411" s="478"/>
      <c r="P411" s="478"/>
      <c r="Q411" s="478"/>
      <c r="R411" s="478"/>
      <c r="S411" s="478"/>
      <c r="T411" s="478"/>
      <c r="U411" s="478"/>
      <c r="V411" s="478"/>
      <c r="W411" s="478"/>
      <c r="X411" s="478"/>
      <c r="Y411" s="478"/>
      <c r="Z411" s="478"/>
    </row>
    <row r="412" spans="1:26" ht="22.5" customHeight="1">
      <c r="A412" s="478"/>
      <c r="O412" s="478"/>
      <c r="P412" s="478"/>
      <c r="Q412" s="478"/>
      <c r="R412" s="478"/>
      <c r="S412" s="478"/>
      <c r="T412" s="478"/>
      <c r="U412" s="478"/>
      <c r="V412" s="478"/>
      <c r="W412" s="478"/>
      <c r="X412" s="478"/>
      <c r="Y412" s="478"/>
      <c r="Z412" s="478"/>
    </row>
    <row r="413" spans="1:26" ht="22.5" customHeight="1">
      <c r="A413" s="478"/>
      <c r="O413" s="478"/>
      <c r="P413" s="478"/>
      <c r="Q413" s="478"/>
      <c r="R413" s="478"/>
      <c r="S413" s="478"/>
      <c r="T413" s="478"/>
      <c r="U413" s="478"/>
      <c r="V413" s="478"/>
      <c r="W413" s="478"/>
      <c r="X413" s="478"/>
      <c r="Y413" s="478"/>
      <c r="Z413" s="478"/>
    </row>
    <row r="414" spans="1:26" ht="22.5" customHeight="1">
      <c r="A414" s="478"/>
      <c r="O414" s="478"/>
      <c r="P414" s="478"/>
      <c r="Q414" s="478"/>
      <c r="R414" s="478"/>
      <c r="S414" s="478"/>
      <c r="T414" s="478"/>
      <c r="U414" s="478"/>
      <c r="V414" s="478"/>
      <c r="W414" s="478"/>
      <c r="X414" s="478"/>
      <c r="Y414" s="478"/>
      <c r="Z414" s="478"/>
    </row>
    <row r="415" spans="1:26" ht="22.5" customHeight="1">
      <c r="A415" s="478"/>
      <c r="O415" s="478"/>
      <c r="P415" s="478"/>
      <c r="Q415" s="478"/>
      <c r="R415" s="478"/>
      <c r="S415" s="478"/>
      <c r="T415" s="478"/>
      <c r="U415" s="478"/>
      <c r="V415" s="478"/>
      <c r="W415" s="478"/>
      <c r="X415" s="478"/>
      <c r="Y415" s="478"/>
      <c r="Z415" s="478"/>
    </row>
    <row r="416" spans="1:26" ht="22.5" customHeight="1">
      <c r="A416" s="478"/>
      <c r="O416" s="478"/>
      <c r="P416" s="478"/>
      <c r="Q416" s="478"/>
      <c r="R416" s="478"/>
      <c r="S416" s="478"/>
      <c r="T416" s="478"/>
      <c r="U416" s="478"/>
      <c r="V416" s="478"/>
      <c r="W416" s="478"/>
      <c r="X416" s="478"/>
      <c r="Y416" s="478"/>
      <c r="Z416" s="478"/>
    </row>
    <row r="417" spans="1:26" ht="22.5" customHeight="1">
      <c r="A417" s="478"/>
      <c r="O417" s="478"/>
      <c r="P417" s="478"/>
      <c r="Q417" s="478"/>
      <c r="R417" s="478"/>
      <c r="S417" s="478"/>
      <c r="T417" s="478"/>
      <c r="U417" s="478"/>
      <c r="V417" s="478"/>
      <c r="W417" s="478"/>
      <c r="X417" s="478"/>
      <c r="Y417" s="478"/>
      <c r="Z417" s="478"/>
    </row>
    <row r="418" spans="1:26" ht="22.5" customHeight="1">
      <c r="A418" s="478"/>
      <c r="O418" s="478"/>
      <c r="P418" s="478"/>
      <c r="Q418" s="478"/>
      <c r="R418" s="478"/>
      <c r="S418" s="478"/>
      <c r="T418" s="478"/>
      <c r="U418" s="478"/>
      <c r="V418" s="478"/>
      <c r="W418" s="478"/>
      <c r="X418" s="478"/>
      <c r="Y418" s="478"/>
      <c r="Z418" s="478"/>
    </row>
    <row r="419" spans="1:26" ht="22.5" customHeight="1">
      <c r="A419" s="478"/>
      <c r="O419" s="478"/>
      <c r="P419" s="478"/>
      <c r="Q419" s="478"/>
      <c r="R419" s="478"/>
      <c r="S419" s="478"/>
      <c r="T419" s="478"/>
      <c r="U419" s="478"/>
      <c r="V419" s="478"/>
      <c r="W419" s="478"/>
      <c r="X419" s="478"/>
      <c r="Y419" s="478"/>
      <c r="Z419" s="478"/>
    </row>
    <row r="420" spans="1:26" ht="22.5" customHeight="1">
      <c r="A420" s="478"/>
      <c r="O420" s="478"/>
      <c r="P420" s="478"/>
      <c r="Q420" s="478"/>
      <c r="R420" s="478"/>
      <c r="S420" s="478"/>
      <c r="T420" s="478"/>
      <c r="U420" s="478"/>
      <c r="V420" s="478"/>
      <c r="W420" s="478"/>
      <c r="X420" s="478"/>
      <c r="Y420" s="478"/>
      <c r="Z420" s="478"/>
    </row>
    <row r="421" spans="1:26" ht="22.5" customHeight="1">
      <c r="A421" s="478"/>
      <c r="O421" s="478"/>
      <c r="P421" s="478"/>
      <c r="Q421" s="478"/>
      <c r="R421" s="478"/>
      <c r="S421" s="478"/>
      <c r="T421" s="478"/>
      <c r="U421" s="478"/>
      <c r="V421" s="478"/>
      <c r="W421" s="478"/>
      <c r="X421" s="478"/>
      <c r="Y421" s="478"/>
      <c r="Z421" s="478"/>
    </row>
    <row r="422" spans="1:26" ht="22.5" customHeight="1">
      <c r="A422" s="478"/>
      <c r="O422" s="478"/>
      <c r="P422" s="478"/>
      <c r="Q422" s="478"/>
      <c r="R422" s="478"/>
      <c r="S422" s="478"/>
      <c r="T422" s="478"/>
      <c r="U422" s="478"/>
      <c r="V422" s="478"/>
      <c r="W422" s="478"/>
      <c r="X422" s="478"/>
      <c r="Y422" s="478"/>
      <c r="Z422" s="478"/>
    </row>
    <row r="423" spans="1:26" ht="22.5" customHeight="1">
      <c r="A423" s="478"/>
      <c r="O423" s="478"/>
      <c r="P423" s="478"/>
      <c r="Q423" s="478"/>
      <c r="R423" s="478"/>
      <c r="S423" s="478"/>
      <c r="T423" s="478"/>
      <c r="U423" s="478"/>
      <c r="V423" s="478"/>
      <c r="W423" s="478"/>
      <c r="X423" s="478"/>
      <c r="Y423" s="478"/>
      <c r="Z423" s="478"/>
    </row>
    <row r="424" spans="1:26" ht="22.5" customHeight="1">
      <c r="A424" s="478"/>
      <c r="O424" s="478"/>
      <c r="P424" s="478"/>
      <c r="Q424" s="478"/>
      <c r="R424" s="478"/>
      <c r="S424" s="478"/>
      <c r="T424" s="478"/>
      <c r="U424" s="478"/>
      <c r="V424" s="478"/>
      <c r="W424" s="478"/>
      <c r="X424" s="478"/>
      <c r="Y424" s="478"/>
      <c r="Z424" s="478"/>
    </row>
    <row r="425" spans="1:26" ht="22.5" customHeight="1">
      <c r="A425" s="478"/>
      <c r="O425" s="478"/>
      <c r="P425" s="478"/>
      <c r="Q425" s="478"/>
      <c r="R425" s="478"/>
      <c r="S425" s="478"/>
      <c r="T425" s="478"/>
      <c r="U425" s="478"/>
      <c r="V425" s="478"/>
      <c r="W425" s="478"/>
      <c r="X425" s="478"/>
      <c r="Y425" s="478"/>
      <c r="Z425" s="478"/>
    </row>
    <row r="426" spans="1:26" ht="22.5" customHeight="1">
      <c r="A426" s="478"/>
      <c r="O426" s="478"/>
      <c r="P426" s="478"/>
      <c r="Q426" s="478"/>
      <c r="R426" s="478"/>
      <c r="S426" s="478"/>
      <c r="T426" s="478"/>
      <c r="U426" s="478"/>
      <c r="V426" s="478"/>
      <c r="W426" s="478"/>
      <c r="X426" s="478"/>
      <c r="Y426" s="478"/>
      <c r="Z426" s="478"/>
    </row>
    <row r="427" spans="1:26" ht="22.5" customHeight="1">
      <c r="A427" s="478"/>
      <c r="O427" s="478"/>
      <c r="P427" s="478"/>
      <c r="Q427" s="478"/>
      <c r="R427" s="478"/>
      <c r="S427" s="478"/>
      <c r="T427" s="478"/>
      <c r="U427" s="478"/>
      <c r="V427" s="478"/>
      <c r="W427" s="478"/>
      <c r="X427" s="478"/>
      <c r="Y427" s="478"/>
      <c r="Z427" s="478"/>
    </row>
    <row r="428" spans="1:26" ht="22.5" customHeight="1">
      <c r="A428" s="478"/>
      <c r="O428" s="478"/>
      <c r="P428" s="478"/>
      <c r="Q428" s="478"/>
      <c r="R428" s="478"/>
      <c r="S428" s="478"/>
      <c r="T428" s="478"/>
      <c r="U428" s="478"/>
      <c r="V428" s="478"/>
      <c r="W428" s="478"/>
      <c r="X428" s="478"/>
      <c r="Y428" s="478"/>
      <c r="Z428" s="478"/>
    </row>
    <row r="429" spans="1:26" ht="22.5" customHeight="1">
      <c r="A429" s="478"/>
      <c r="O429" s="478"/>
      <c r="P429" s="478"/>
      <c r="Q429" s="478"/>
      <c r="R429" s="478"/>
      <c r="S429" s="478"/>
      <c r="T429" s="478"/>
      <c r="U429" s="478"/>
      <c r="V429" s="478"/>
      <c r="W429" s="478"/>
      <c r="X429" s="478"/>
      <c r="Y429" s="478"/>
      <c r="Z429" s="478"/>
    </row>
    <row r="430" spans="1:26" ht="22.5" customHeight="1">
      <c r="A430" s="478"/>
      <c r="O430" s="478"/>
      <c r="P430" s="478"/>
      <c r="Q430" s="478"/>
      <c r="R430" s="478"/>
      <c r="S430" s="478"/>
      <c r="T430" s="478"/>
      <c r="U430" s="478"/>
      <c r="V430" s="478"/>
      <c r="W430" s="478"/>
      <c r="X430" s="478"/>
      <c r="Y430" s="478"/>
      <c r="Z430" s="478"/>
    </row>
    <row r="431" spans="1:26" ht="22.5" customHeight="1">
      <c r="A431" s="478"/>
      <c r="O431" s="478"/>
      <c r="P431" s="478"/>
      <c r="Q431" s="478"/>
      <c r="R431" s="478"/>
      <c r="S431" s="478"/>
      <c r="T431" s="478"/>
      <c r="U431" s="478"/>
      <c r="V431" s="478"/>
      <c r="W431" s="478"/>
      <c r="X431" s="478"/>
      <c r="Y431" s="478"/>
      <c r="Z431" s="478"/>
    </row>
    <row r="432" spans="1:26" ht="22.5" customHeight="1">
      <c r="A432" s="478"/>
      <c r="O432" s="478"/>
      <c r="P432" s="478"/>
      <c r="Q432" s="478"/>
      <c r="R432" s="478"/>
      <c r="S432" s="478"/>
      <c r="T432" s="478"/>
      <c r="U432" s="478"/>
      <c r="V432" s="478"/>
      <c r="W432" s="478"/>
      <c r="X432" s="478"/>
      <c r="Y432" s="478"/>
      <c r="Z432" s="478"/>
    </row>
    <row r="433" spans="1:26" ht="22.5" customHeight="1">
      <c r="A433" s="478"/>
      <c r="O433" s="478"/>
      <c r="P433" s="478"/>
      <c r="Q433" s="478"/>
      <c r="R433" s="478"/>
      <c r="S433" s="478"/>
      <c r="T433" s="478"/>
      <c r="U433" s="478"/>
      <c r="V433" s="478"/>
      <c r="W433" s="478"/>
      <c r="X433" s="478"/>
      <c r="Y433" s="478"/>
      <c r="Z433" s="478"/>
    </row>
    <row r="434" spans="1:26" ht="22.5" customHeight="1">
      <c r="A434" s="478"/>
      <c r="O434" s="478"/>
      <c r="P434" s="478"/>
      <c r="Q434" s="478"/>
      <c r="R434" s="478"/>
      <c r="S434" s="478"/>
      <c r="T434" s="478"/>
      <c r="U434" s="478"/>
      <c r="V434" s="478"/>
      <c r="W434" s="478"/>
      <c r="X434" s="478"/>
      <c r="Y434" s="478"/>
      <c r="Z434" s="478"/>
    </row>
    <row r="435" spans="1:26" ht="22.5" customHeight="1">
      <c r="A435" s="478"/>
      <c r="O435" s="478"/>
      <c r="P435" s="478"/>
      <c r="Q435" s="478"/>
      <c r="R435" s="478"/>
      <c r="S435" s="478"/>
      <c r="T435" s="478"/>
      <c r="U435" s="478"/>
      <c r="V435" s="478"/>
      <c r="W435" s="478"/>
      <c r="X435" s="478"/>
      <c r="Y435" s="478"/>
      <c r="Z435" s="478"/>
    </row>
    <row r="436" spans="1:26" ht="22.5" customHeight="1">
      <c r="A436" s="478"/>
      <c r="O436" s="478"/>
      <c r="P436" s="478"/>
      <c r="Q436" s="478"/>
      <c r="R436" s="478"/>
      <c r="S436" s="478"/>
      <c r="T436" s="478"/>
      <c r="U436" s="478"/>
      <c r="V436" s="478"/>
      <c r="W436" s="478"/>
      <c r="X436" s="478"/>
      <c r="Y436" s="478"/>
      <c r="Z436" s="478"/>
    </row>
    <row r="437" spans="1:26" ht="22.5" customHeight="1">
      <c r="A437" s="478"/>
      <c r="O437" s="478"/>
      <c r="P437" s="478"/>
      <c r="Q437" s="478"/>
      <c r="R437" s="478"/>
      <c r="S437" s="478"/>
      <c r="T437" s="478"/>
      <c r="U437" s="478"/>
      <c r="V437" s="478"/>
      <c r="W437" s="478"/>
      <c r="X437" s="478"/>
      <c r="Y437" s="478"/>
      <c r="Z437" s="478"/>
    </row>
    <row r="438" spans="1:26" ht="22.5" customHeight="1">
      <c r="A438" s="478"/>
      <c r="O438" s="478"/>
      <c r="P438" s="478"/>
      <c r="Q438" s="478"/>
      <c r="R438" s="478"/>
      <c r="S438" s="478"/>
      <c r="T438" s="478"/>
      <c r="U438" s="478"/>
      <c r="V438" s="478"/>
      <c r="W438" s="478"/>
      <c r="X438" s="478"/>
      <c r="Y438" s="478"/>
      <c r="Z438" s="478"/>
    </row>
    <row r="439" spans="1:26" ht="22.5" customHeight="1">
      <c r="A439" s="478"/>
      <c r="O439" s="478"/>
      <c r="P439" s="478"/>
      <c r="Q439" s="478"/>
      <c r="R439" s="478"/>
      <c r="S439" s="478"/>
      <c r="T439" s="478"/>
      <c r="U439" s="478"/>
      <c r="V439" s="478"/>
      <c r="W439" s="478"/>
      <c r="X439" s="478"/>
      <c r="Y439" s="478"/>
      <c r="Z439" s="478"/>
    </row>
    <row r="440" spans="1:26" ht="22.5" customHeight="1">
      <c r="A440" s="478"/>
      <c r="O440" s="478"/>
      <c r="P440" s="478"/>
      <c r="Q440" s="478"/>
      <c r="R440" s="478"/>
      <c r="S440" s="478"/>
      <c r="T440" s="478"/>
      <c r="U440" s="478"/>
      <c r="V440" s="478"/>
      <c r="W440" s="478"/>
      <c r="X440" s="478"/>
      <c r="Y440" s="478"/>
      <c r="Z440" s="478"/>
    </row>
    <row r="441" spans="1:26" ht="22.5" customHeight="1">
      <c r="A441" s="478"/>
      <c r="O441" s="478"/>
      <c r="P441" s="478"/>
      <c r="Q441" s="478"/>
      <c r="R441" s="478"/>
      <c r="S441" s="478"/>
      <c r="T441" s="478"/>
      <c r="U441" s="478"/>
      <c r="V441" s="478"/>
      <c r="W441" s="478"/>
      <c r="X441" s="478"/>
      <c r="Y441" s="478"/>
      <c r="Z441" s="478"/>
    </row>
    <row r="442" spans="1:26" ht="22.5" customHeight="1">
      <c r="A442" s="478"/>
      <c r="O442" s="478"/>
      <c r="P442" s="478"/>
      <c r="Q442" s="478"/>
      <c r="R442" s="478"/>
      <c r="S442" s="478"/>
      <c r="T442" s="478"/>
      <c r="U442" s="478"/>
      <c r="V442" s="478"/>
      <c r="W442" s="478"/>
      <c r="X442" s="478"/>
      <c r="Y442" s="478"/>
      <c r="Z442" s="478"/>
    </row>
    <row r="443" spans="1:26" ht="22.5" customHeight="1">
      <c r="A443" s="478"/>
      <c r="O443" s="478"/>
      <c r="P443" s="478"/>
      <c r="Q443" s="478"/>
      <c r="R443" s="478"/>
      <c r="S443" s="478"/>
      <c r="T443" s="478"/>
      <c r="U443" s="478"/>
      <c r="V443" s="478"/>
      <c r="W443" s="478"/>
      <c r="X443" s="478"/>
      <c r="Y443" s="478"/>
      <c r="Z443" s="478"/>
    </row>
    <row r="444" spans="1:26" ht="22.5" customHeight="1">
      <c r="A444" s="478"/>
      <c r="O444" s="478"/>
      <c r="P444" s="478"/>
      <c r="Q444" s="478"/>
      <c r="R444" s="478"/>
      <c r="S444" s="478"/>
      <c r="T444" s="478"/>
      <c r="U444" s="478"/>
      <c r="V444" s="478"/>
      <c r="W444" s="478"/>
      <c r="X444" s="478"/>
      <c r="Y444" s="478"/>
      <c r="Z444" s="478"/>
    </row>
    <row r="445" spans="1:26" ht="22.5" customHeight="1">
      <c r="A445" s="478"/>
      <c r="O445" s="478"/>
      <c r="P445" s="478"/>
      <c r="Q445" s="478"/>
      <c r="R445" s="478"/>
      <c r="S445" s="478"/>
      <c r="T445" s="478"/>
      <c r="U445" s="478"/>
      <c r="V445" s="478"/>
      <c r="W445" s="478"/>
      <c r="X445" s="478"/>
      <c r="Y445" s="478"/>
      <c r="Z445" s="478"/>
    </row>
    <row r="446" spans="1:26" ht="22.5" customHeight="1">
      <c r="A446" s="478"/>
      <c r="O446" s="478"/>
      <c r="P446" s="478"/>
      <c r="Q446" s="478"/>
      <c r="R446" s="478"/>
      <c r="S446" s="478"/>
      <c r="T446" s="478"/>
      <c r="U446" s="478"/>
      <c r="V446" s="478"/>
      <c r="W446" s="478"/>
      <c r="X446" s="478"/>
      <c r="Y446" s="478"/>
      <c r="Z446" s="478"/>
    </row>
    <row r="447" spans="1:26" ht="22.5" customHeight="1">
      <c r="A447" s="478"/>
      <c r="O447" s="478"/>
      <c r="P447" s="478"/>
      <c r="Q447" s="478"/>
      <c r="R447" s="478"/>
      <c r="S447" s="478"/>
      <c r="T447" s="478"/>
      <c r="U447" s="478"/>
      <c r="V447" s="478"/>
      <c r="W447" s="478"/>
      <c r="X447" s="478"/>
      <c r="Y447" s="478"/>
      <c r="Z447" s="478"/>
    </row>
    <row r="448" spans="1:26" ht="22.5" customHeight="1">
      <c r="A448" s="478"/>
      <c r="O448" s="478"/>
      <c r="P448" s="478"/>
      <c r="Q448" s="478"/>
      <c r="R448" s="478"/>
      <c r="S448" s="478"/>
      <c r="T448" s="478"/>
      <c r="U448" s="478"/>
      <c r="V448" s="478"/>
      <c r="W448" s="478"/>
      <c r="X448" s="478"/>
      <c r="Y448" s="478"/>
      <c r="Z448" s="478"/>
    </row>
    <row r="449" spans="1:26" ht="22.5" customHeight="1">
      <c r="A449" s="478"/>
      <c r="O449" s="478"/>
      <c r="P449" s="478"/>
      <c r="Q449" s="478"/>
      <c r="R449" s="478"/>
      <c r="S449" s="478"/>
      <c r="T449" s="478"/>
      <c r="U449" s="478"/>
      <c r="V449" s="478"/>
      <c r="W449" s="478"/>
      <c r="X449" s="478"/>
      <c r="Y449" s="478"/>
      <c r="Z449" s="478"/>
    </row>
    <row r="450" spans="1:26" ht="22.5" customHeight="1">
      <c r="A450" s="478"/>
      <c r="O450" s="478"/>
      <c r="P450" s="478"/>
      <c r="Q450" s="478"/>
      <c r="R450" s="478"/>
      <c r="S450" s="478"/>
      <c r="T450" s="478"/>
      <c r="U450" s="478"/>
      <c r="V450" s="478"/>
      <c r="W450" s="478"/>
      <c r="X450" s="478"/>
      <c r="Y450" s="478"/>
      <c r="Z450" s="478"/>
    </row>
    <row r="451" spans="1:26" ht="22.5" customHeight="1">
      <c r="A451" s="478"/>
      <c r="O451" s="478"/>
      <c r="P451" s="478"/>
      <c r="Q451" s="478"/>
      <c r="R451" s="478"/>
      <c r="S451" s="478"/>
      <c r="T451" s="478"/>
      <c r="U451" s="478"/>
      <c r="V451" s="478"/>
      <c r="W451" s="478"/>
      <c r="X451" s="478"/>
      <c r="Y451" s="478"/>
      <c r="Z451" s="478"/>
    </row>
    <row r="452" spans="1:26" ht="22.5" customHeight="1">
      <c r="A452" s="478"/>
      <c r="O452" s="478"/>
      <c r="P452" s="478"/>
      <c r="Q452" s="478"/>
      <c r="R452" s="478"/>
      <c r="S452" s="478"/>
      <c r="T452" s="478"/>
      <c r="U452" s="478"/>
      <c r="V452" s="478"/>
      <c r="W452" s="478"/>
      <c r="X452" s="478"/>
      <c r="Y452" s="478"/>
      <c r="Z452" s="478"/>
    </row>
    <row r="453" spans="1:26" ht="22.5" customHeight="1">
      <c r="A453" s="478"/>
      <c r="O453" s="478"/>
      <c r="P453" s="478"/>
      <c r="Q453" s="478"/>
      <c r="R453" s="478"/>
      <c r="S453" s="478"/>
      <c r="T453" s="478"/>
      <c r="U453" s="478"/>
      <c r="V453" s="478"/>
      <c r="W453" s="478"/>
      <c r="X453" s="478"/>
      <c r="Y453" s="478"/>
      <c r="Z453" s="478"/>
    </row>
    <row r="454" spans="1:26" ht="22.5" customHeight="1">
      <c r="A454" s="478"/>
      <c r="O454" s="478"/>
      <c r="P454" s="478"/>
      <c r="Q454" s="478"/>
      <c r="R454" s="478"/>
      <c r="S454" s="478"/>
      <c r="T454" s="478"/>
      <c r="U454" s="478"/>
      <c r="V454" s="478"/>
      <c r="W454" s="478"/>
      <c r="X454" s="478"/>
      <c r="Y454" s="478"/>
      <c r="Z454" s="478"/>
    </row>
    <row r="455" spans="1:26" ht="22.5" customHeight="1">
      <c r="A455" s="478"/>
      <c r="O455" s="478"/>
      <c r="P455" s="478"/>
      <c r="Q455" s="478"/>
      <c r="R455" s="478"/>
      <c r="S455" s="478"/>
      <c r="T455" s="478"/>
      <c r="U455" s="478"/>
      <c r="V455" s="478"/>
      <c r="W455" s="478"/>
      <c r="X455" s="478"/>
      <c r="Y455" s="478"/>
      <c r="Z455" s="478"/>
    </row>
    <row r="456" spans="1:26" ht="22.5" customHeight="1">
      <c r="A456" s="478"/>
      <c r="O456" s="478"/>
      <c r="P456" s="478"/>
      <c r="Q456" s="478"/>
      <c r="R456" s="478"/>
      <c r="S456" s="478"/>
      <c r="T456" s="478"/>
      <c r="U456" s="478"/>
      <c r="V456" s="478"/>
      <c r="W456" s="478"/>
      <c r="X456" s="478"/>
      <c r="Y456" s="478"/>
      <c r="Z456" s="478"/>
    </row>
    <row r="457" spans="1:26" ht="22.5" customHeight="1">
      <c r="A457" s="478"/>
      <c r="O457" s="478"/>
      <c r="P457" s="478"/>
      <c r="Q457" s="478"/>
      <c r="R457" s="478"/>
      <c r="S457" s="478"/>
      <c r="T457" s="478"/>
      <c r="U457" s="478"/>
      <c r="V457" s="478"/>
      <c r="W457" s="478"/>
      <c r="X457" s="478"/>
      <c r="Y457" s="478"/>
      <c r="Z457" s="478"/>
    </row>
    <row r="458" spans="1:26" ht="22.5" customHeight="1">
      <c r="A458" s="478"/>
      <c r="O458" s="478"/>
      <c r="P458" s="478"/>
      <c r="Q458" s="478"/>
      <c r="R458" s="478"/>
      <c r="S458" s="478"/>
      <c r="T458" s="478"/>
      <c r="U458" s="478"/>
      <c r="V458" s="478"/>
      <c r="W458" s="478"/>
      <c r="X458" s="478"/>
      <c r="Y458" s="478"/>
      <c r="Z458" s="478"/>
    </row>
    <row r="459" spans="1:26" ht="22.5" customHeight="1">
      <c r="A459" s="478"/>
      <c r="O459" s="478"/>
      <c r="P459" s="478"/>
      <c r="Q459" s="478"/>
      <c r="R459" s="478"/>
      <c r="S459" s="478"/>
      <c r="T459" s="478"/>
      <c r="U459" s="478"/>
      <c r="V459" s="478"/>
      <c r="W459" s="478"/>
      <c r="X459" s="478"/>
      <c r="Y459" s="478"/>
      <c r="Z459" s="478"/>
    </row>
    <row r="460" spans="1:26" ht="22.5" customHeight="1">
      <c r="A460" s="478"/>
      <c r="O460" s="478"/>
      <c r="P460" s="478"/>
      <c r="Q460" s="478"/>
      <c r="R460" s="478"/>
      <c r="S460" s="478"/>
      <c r="T460" s="478"/>
      <c r="U460" s="478"/>
      <c r="V460" s="478"/>
      <c r="W460" s="478"/>
      <c r="X460" s="478"/>
      <c r="Y460" s="478"/>
      <c r="Z460" s="478"/>
    </row>
    <row r="461" spans="1:26" ht="22.5" customHeight="1">
      <c r="A461" s="478"/>
      <c r="O461" s="478"/>
      <c r="P461" s="478"/>
      <c r="Q461" s="478"/>
      <c r="R461" s="478"/>
      <c r="S461" s="478"/>
      <c r="T461" s="478"/>
      <c r="U461" s="478"/>
      <c r="V461" s="478"/>
      <c r="W461" s="478"/>
      <c r="X461" s="478"/>
      <c r="Y461" s="478"/>
      <c r="Z461" s="478"/>
    </row>
    <row r="462" spans="1:26" ht="22.5" customHeight="1">
      <c r="A462" s="478"/>
      <c r="O462" s="478"/>
      <c r="P462" s="478"/>
      <c r="Q462" s="478"/>
      <c r="R462" s="478"/>
      <c r="S462" s="478"/>
      <c r="T462" s="478"/>
      <c r="U462" s="478"/>
      <c r="V462" s="478"/>
      <c r="W462" s="478"/>
      <c r="X462" s="478"/>
      <c r="Y462" s="478"/>
      <c r="Z462" s="478"/>
    </row>
    <row r="463" spans="1:26" ht="22.5" customHeight="1">
      <c r="A463" s="478"/>
      <c r="O463" s="478"/>
      <c r="P463" s="478"/>
      <c r="Q463" s="478"/>
      <c r="R463" s="478"/>
      <c r="S463" s="478"/>
      <c r="T463" s="478"/>
      <c r="U463" s="478"/>
      <c r="V463" s="478"/>
      <c r="W463" s="478"/>
      <c r="X463" s="478"/>
      <c r="Y463" s="478"/>
      <c r="Z463" s="478"/>
    </row>
    <row r="464" spans="1:26" ht="22.5" customHeight="1">
      <c r="A464" s="478"/>
      <c r="O464" s="478"/>
      <c r="P464" s="478"/>
      <c r="Q464" s="478"/>
      <c r="R464" s="478"/>
      <c r="S464" s="478"/>
      <c r="T464" s="478"/>
      <c r="U464" s="478"/>
      <c r="V464" s="478"/>
      <c r="W464" s="478"/>
      <c r="X464" s="478"/>
      <c r="Y464" s="478"/>
      <c r="Z464" s="478"/>
    </row>
    <row r="465" spans="1:26" ht="22.5" customHeight="1">
      <c r="A465" s="478"/>
      <c r="O465" s="478"/>
      <c r="P465" s="478"/>
      <c r="Q465" s="478"/>
      <c r="R465" s="478"/>
      <c r="S465" s="478"/>
      <c r="T465" s="478"/>
      <c r="U465" s="478"/>
      <c r="V465" s="478"/>
      <c r="W465" s="478"/>
      <c r="X465" s="478"/>
      <c r="Y465" s="478"/>
      <c r="Z465" s="478"/>
    </row>
    <row r="466" spans="1:26" ht="22.5" customHeight="1">
      <c r="A466" s="478"/>
      <c r="O466" s="478"/>
      <c r="P466" s="478"/>
      <c r="Q466" s="478"/>
      <c r="R466" s="478"/>
      <c r="S466" s="478"/>
      <c r="T466" s="478"/>
      <c r="U466" s="478"/>
      <c r="V466" s="478"/>
      <c r="W466" s="478"/>
      <c r="X466" s="478"/>
      <c r="Y466" s="478"/>
      <c r="Z466" s="478"/>
    </row>
    <row r="467" spans="1:26" ht="22.5" customHeight="1">
      <c r="A467" s="478"/>
      <c r="O467" s="478"/>
      <c r="P467" s="478"/>
      <c r="Q467" s="478"/>
      <c r="R467" s="478"/>
      <c r="S467" s="478"/>
      <c r="T467" s="478"/>
      <c r="U467" s="478"/>
      <c r="V467" s="478"/>
      <c r="W467" s="478"/>
      <c r="X467" s="478"/>
      <c r="Y467" s="478"/>
      <c r="Z467" s="478"/>
    </row>
    <row r="468" spans="1:26" ht="22.5" customHeight="1">
      <c r="A468" s="478"/>
      <c r="O468" s="478"/>
      <c r="P468" s="478"/>
      <c r="Q468" s="478"/>
      <c r="R468" s="478"/>
      <c r="S468" s="478"/>
      <c r="T468" s="478"/>
      <c r="U468" s="478"/>
      <c r="V468" s="478"/>
      <c r="W468" s="478"/>
      <c r="X468" s="478"/>
      <c r="Y468" s="478"/>
      <c r="Z468" s="478"/>
    </row>
    <row r="469" spans="1:26" ht="22.5" customHeight="1">
      <c r="A469" s="478"/>
      <c r="O469" s="478"/>
      <c r="P469" s="478"/>
      <c r="Q469" s="478"/>
      <c r="R469" s="478"/>
      <c r="S469" s="478"/>
      <c r="T469" s="478"/>
      <c r="U469" s="478"/>
      <c r="V469" s="478"/>
      <c r="W469" s="478"/>
      <c r="X469" s="478"/>
      <c r="Y469" s="478"/>
      <c r="Z469" s="478"/>
    </row>
    <row r="470" spans="1:26" ht="22.5" customHeight="1">
      <c r="A470" s="478"/>
      <c r="O470" s="478"/>
      <c r="P470" s="478"/>
      <c r="Q470" s="478"/>
      <c r="R470" s="478"/>
      <c r="S470" s="478"/>
      <c r="T470" s="478"/>
      <c r="U470" s="478"/>
      <c r="V470" s="478"/>
      <c r="W470" s="478"/>
      <c r="X470" s="478"/>
      <c r="Y470" s="478"/>
      <c r="Z470" s="478"/>
    </row>
    <row r="471" spans="1:26" ht="22.5" customHeight="1">
      <c r="A471" s="478"/>
      <c r="O471" s="478"/>
      <c r="P471" s="478"/>
      <c r="Q471" s="478"/>
      <c r="R471" s="478"/>
      <c r="S471" s="478"/>
      <c r="T471" s="478"/>
      <c r="U471" s="478"/>
      <c r="V471" s="478"/>
      <c r="W471" s="478"/>
      <c r="X471" s="478"/>
      <c r="Y471" s="478"/>
      <c r="Z471" s="478"/>
    </row>
    <row r="472" spans="1:26" ht="22.5" customHeight="1">
      <c r="A472" s="478"/>
      <c r="O472" s="478"/>
      <c r="P472" s="478"/>
      <c r="Q472" s="478"/>
      <c r="R472" s="478"/>
      <c r="S472" s="478"/>
      <c r="T472" s="478"/>
      <c r="U472" s="478"/>
      <c r="V472" s="478"/>
      <c r="W472" s="478"/>
      <c r="X472" s="478"/>
      <c r="Y472" s="478"/>
      <c r="Z472" s="478"/>
    </row>
    <row r="473" spans="1:26" ht="22.5" customHeight="1">
      <c r="A473" s="478"/>
      <c r="O473" s="478"/>
      <c r="P473" s="478"/>
      <c r="Q473" s="478"/>
      <c r="R473" s="478"/>
      <c r="S473" s="478"/>
      <c r="T473" s="478"/>
      <c r="U473" s="478"/>
      <c r="V473" s="478"/>
      <c r="W473" s="478"/>
      <c r="X473" s="478"/>
      <c r="Y473" s="478"/>
      <c r="Z473" s="478"/>
    </row>
    <row r="474" spans="1:26" ht="22.5" customHeight="1">
      <c r="A474" s="478"/>
      <c r="O474" s="478"/>
      <c r="P474" s="478"/>
      <c r="Q474" s="478"/>
      <c r="R474" s="478"/>
      <c r="S474" s="478"/>
      <c r="T474" s="478"/>
      <c r="U474" s="478"/>
      <c r="V474" s="478"/>
      <c r="W474" s="478"/>
      <c r="X474" s="478"/>
      <c r="Y474" s="478"/>
      <c r="Z474" s="478"/>
    </row>
    <row r="475" spans="1:26" ht="22.5" customHeight="1">
      <c r="A475" s="478"/>
      <c r="O475" s="478"/>
      <c r="P475" s="478"/>
      <c r="Q475" s="478"/>
      <c r="R475" s="478"/>
      <c r="S475" s="478"/>
      <c r="T475" s="478"/>
      <c r="U475" s="478"/>
      <c r="V475" s="478"/>
      <c r="W475" s="478"/>
      <c r="X475" s="478"/>
      <c r="Y475" s="478"/>
      <c r="Z475" s="478"/>
    </row>
    <row r="476" spans="1:26" ht="22.5" customHeight="1">
      <c r="A476" s="478"/>
      <c r="O476" s="478"/>
      <c r="P476" s="478"/>
      <c r="Q476" s="478"/>
      <c r="R476" s="478"/>
      <c r="S476" s="478"/>
      <c r="T476" s="478"/>
      <c r="U476" s="478"/>
      <c r="V476" s="478"/>
      <c r="W476" s="478"/>
      <c r="X476" s="478"/>
      <c r="Y476" s="478"/>
      <c r="Z476" s="478"/>
    </row>
    <row r="477" spans="1:26" ht="22.5" customHeight="1">
      <c r="A477" s="478"/>
      <c r="O477" s="478"/>
      <c r="P477" s="478"/>
      <c r="Q477" s="478"/>
      <c r="R477" s="478"/>
      <c r="S477" s="478"/>
      <c r="T477" s="478"/>
      <c r="U477" s="478"/>
      <c r="V477" s="478"/>
      <c r="W477" s="478"/>
      <c r="X477" s="478"/>
      <c r="Y477" s="478"/>
      <c r="Z477" s="478"/>
    </row>
    <row r="478" spans="1:26" ht="22.5" customHeight="1">
      <c r="A478" s="478"/>
      <c r="O478" s="478"/>
      <c r="P478" s="478"/>
      <c r="Q478" s="478"/>
      <c r="R478" s="478"/>
      <c r="S478" s="478"/>
      <c r="T478" s="478"/>
      <c r="U478" s="478"/>
      <c r="V478" s="478"/>
      <c r="W478" s="478"/>
      <c r="X478" s="478"/>
      <c r="Y478" s="478"/>
      <c r="Z478" s="478"/>
    </row>
    <row r="479" spans="1:26" ht="22.5" customHeight="1">
      <c r="A479" s="478"/>
      <c r="O479" s="478"/>
      <c r="P479" s="478"/>
      <c r="Q479" s="478"/>
      <c r="R479" s="478"/>
      <c r="S479" s="478"/>
      <c r="T479" s="478"/>
      <c r="U479" s="478"/>
      <c r="V479" s="478"/>
      <c r="W479" s="478"/>
      <c r="X479" s="478"/>
      <c r="Y479" s="478"/>
      <c r="Z479" s="478"/>
    </row>
    <row r="480" spans="1:26" ht="22.5" customHeight="1">
      <c r="A480" s="478"/>
      <c r="O480" s="478"/>
      <c r="P480" s="478"/>
      <c r="Q480" s="478"/>
      <c r="R480" s="478"/>
      <c r="S480" s="478"/>
      <c r="T480" s="478"/>
      <c r="U480" s="478"/>
      <c r="V480" s="478"/>
      <c r="W480" s="478"/>
      <c r="X480" s="478"/>
      <c r="Y480" s="478"/>
      <c r="Z480" s="478"/>
    </row>
    <row r="481" spans="1:26" ht="22.5" customHeight="1">
      <c r="A481" s="478"/>
      <c r="O481" s="478"/>
      <c r="P481" s="478"/>
      <c r="Q481" s="478"/>
      <c r="R481" s="478"/>
      <c r="S481" s="478"/>
      <c r="T481" s="478"/>
      <c r="U481" s="478"/>
      <c r="V481" s="478"/>
      <c r="W481" s="478"/>
      <c r="X481" s="478"/>
      <c r="Y481" s="478"/>
      <c r="Z481" s="478"/>
    </row>
    <row r="482" spans="1:26" ht="22.5" customHeight="1">
      <c r="A482" s="478"/>
      <c r="O482" s="478"/>
      <c r="P482" s="478"/>
      <c r="Q482" s="478"/>
      <c r="R482" s="478"/>
      <c r="S482" s="478"/>
      <c r="T482" s="478"/>
      <c r="U482" s="478"/>
      <c r="V482" s="478"/>
      <c r="W482" s="478"/>
      <c r="X482" s="478"/>
      <c r="Y482" s="478"/>
      <c r="Z482" s="478"/>
    </row>
    <row r="483" spans="1:26" ht="22.5" customHeight="1">
      <c r="A483" s="478"/>
      <c r="O483" s="478"/>
      <c r="P483" s="478"/>
      <c r="Q483" s="478"/>
      <c r="R483" s="478"/>
      <c r="S483" s="478"/>
      <c r="T483" s="478"/>
      <c r="U483" s="478"/>
      <c r="V483" s="478"/>
      <c r="W483" s="478"/>
      <c r="X483" s="478"/>
      <c r="Y483" s="478"/>
      <c r="Z483" s="478"/>
    </row>
    <row r="484" spans="1:26" ht="22.5" customHeight="1">
      <c r="A484" s="478"/>
      <c r="O484" s="478"/>
      <c r="P484" s="478"/>
      <c r="Q484" s="478"/>
      <c r="R484" s="478"/>
      <c r="S484" s="478"/>
      <c r="T484" s="478"/>
      <c r="U484" s="478"/>
      <c r="V484" s="478"/>
      <c r="W484" s="478"/>
      <c r="X484" s="478"/>
      <c r="Y484" s="478"/>
      <c r="Z484" s="478"/>
    </row>
    <row r="485" spans="1:26" ht="22.5" customHeight="1">
      <c r="A485" s="478"/>
      <c r="O485" s="478"/>
      <c r="P485" s="478"/>
      <c r="Q485" s="478"/>
      <c r="R485" s="478"/>
      <c r="S485" s="478"/>
      <c r="T485" s="478"/>
      <c r="U485" s="478"/>
      <c r="V485" s="478"/>
      <c r="W485" s="478"/>
      <c r="X485" s="478"/>
      <c r="Y485" s="478"/>
      <c r="Z485" s="478"/>
    </row>
    <row r="486" spans="1:26" ht="22.5" customHeight="1">
      <c r="A486" s="478"/>
      <c r="O486" s="478"/>
      <c r="P486" s="478"/>
      <c r="Q486" s="478"/>
      <c r="R486" s="478"/>
      <c r="S486" s="478"/>
      <c r="T486" s="478"/>
      <c r="U486" s="478"/>
      <c r="V486" s="478"/>
      <c r="W486" s="478"/>
      <c r="X486" s="478"/>
      <c r="Y486" s="478"/>
      <c r="Z486" s="478"/>
    </row>
    <row r="487" spans="1:26" ht="22.5" customHeight="1">
      <c r="A487" s="478"/>
      <c r="O487" s="478"/>
      <c r="P487" s="478"/>
      <c r="Q487" s="478"/>
      <c r="R487" s="478"/>
      <c r="S487" s="478"/>
      <c r="T487" s="478"/>
      <c r="U487" s="478"/>
      <c r="V487" s="478"/>
      <c r="W487" s="478"/>
      <c r="X487" s="478"/>
      <c r="Y487" s="478"/>
      <c r="Z487" s="478"/>
    </row>
    <row r="488" spans="1:26" ht="22.5" customHeight="1">
      <c r="A488" s="478"/>
      <c r="O488" s="478"/>
      <c r="P488" s="478"/>
      <c r="Q488" s="478"/>
      <c r="R488" s="478"/>
      <c r="S488" s="478"/>
      <c r="T488" s="478"/>
      <c r="U488" s="478"/>
      <c r="V488" s="478"/>
      <c r="W488" s="478"/>
      <c r="X488" s="478"/>
      <c r="Y488" s="478"/>
      <c r="Z488" s="478"/>
    </row>
    <row r="489" spans="1:26" ht="22.5" customHeight="1">
      <c r="A489" s="478"/>
      <c r="O489" s="478"/>
      <c r="P489" s="478"/>
      <c r="Q489" s="478"/>
      <c r="R489" s="478"/>
      <c r="S489" s="478"/>
      <c r="T489" s="478"/>
      <c r="U489" s="478"/>
      <c r="V489" s="478"/>
      <c r="W489" s="478"/>
      <c r="X489" s="478"/>
      <c r="Y489" s="478"/>
      <c r="Z489" s="478"/>
    </row>
    <row r="490" spans="1:26" ht="22.5" customHeight="1">
      <c r="A490" s="478"/>
      <c r="O490" s="478"/>
      <c r="P490" s="478"/>
      <c r="Q490" s="478"/>
      <c r="R490" s="478"/>
      <c r="S490" s="478"/>
      <c r="T490" s="478"/>
      <c r="U490" s="478"/>
      <c r="V490" s="478"/>
      <c r="W490" s="478"/>
      <c r="X490" s="478"/>
      <c r="Y490" s="478"/>
      <c r="Z490" s="478"/>
    </row>
    <row r="491" spans="1:26" ht="22.5" customHeight="1">
      <c r="A491" s="478"/>
      <c r="O491" s="478"/>
      <c r="P491" s="478"/>
      <c r="Q491" s="478"/>
      <c r="R491" s="478"/>
      <c r="S491" s="478"/>
      <c r="T491" s="478"/>
      <c r="U491" s="478"/>
      <c r="V491" s="478"/>
      <c r="W491" s="478"/>
      <c r="X491" s="478"/>
      <c r="Y491" s="478"/>
      <c r="Z491" s="478"/>
    </row>
    <row r="492" spans="1:26" ht="22.5" customHeight="1">
      <c r="A492" s="478"/>
      <c r="O492" s="478"/>
      <c r="P492" s="478"/>
      <c r="Q492" s="478"/>
      <c r="R492" s="478"/>
      <c r="S492" s="478"/>
      <c r="T492" s="478"/>
      <c r="U492" s="478"/>
      <c r="V492" s="478"/>
      <c r="W492" s="478"/>
      <c r="X492" s="478"/>
      <c r="Y492" s="478"/>
      <c r="Z492" s="478"/>
    </row>
    <row r="493" spans="1:26" ht="22.5" customHeight="1">
      <c r="A493" s="478"/>
      <c r="O493" s="478"/>
      <c r="P493" s="478"/>
      <c r="Q493" s="478"/>
      <c r="R493" s="478"/>
      <c r="S493" s="478"/>
      <c r="T493" s="478"/>
      <c r="U493" s="478"/>
      <c r="V493" s="478"/>
      <c r="W493" s="478"/>
      <c r="X493" s="478"/>
      <c r="Y493" s="478"/>
      <c r="Z493" s="478"/>
    </row>
    <row r="494" spans="1:26" ht="22.5" customHeight="1">
      <c r="A494" s="478"/>
      <c r="O494" s="478"/>
      <c r="P494" s="478"/>
      <c r="Q494" s="478"/>
      <c r="R494" s="478"/>
      <c r="S494" s="478"/>
      <c r="T494" s="478"/>
      <c r="U494" s="478"/>
      <c r="V494" s="478"/>
      <c r="W494" s="478"/>
      <c r="X494" s="478"/>
      <c r="Y494" s="478"/>
      <c r="Z494" s="478"/>
    </row>
    <row r="495" spans="1:26" ht="22.5" customHeight="1">
      <c r="A495" s="478"/>
      <c r="O495" s="478"/>
      <c r="P495" s="478"/>
      <c r="Q495" s="478"/>
      <c r="R495" s="478"/>
      <c r="S495" s="478"/>
      <c r="T495" s="478"/>
      <c r="U495" s="478"/>
      <c r="V495" s="478"/>
      <c r="W495" s="478"/>
      <c r="X495" s="478"/>
      <c r="Y495" s="478"/>
      <c r="Z495" s="478"/>
    </row>
    <row r="496" spans="1:26" ht="22.5" customHeight="1">
      <c r="A496" s="478"/>
      <c r="O496" s="478"/>
      <c r="P496" s="478"/>
      <c r="Q496" s="478"/>
      <c r="R496" s="478"/>
      <c r="S496" s="478"/>
      <c r="T496" s="478"/>
      <c r="U496" s="478"/>
      <c r="V496" s="478"/>
      <c r="W496" s="478"/>
      <c r="X496" s="478"/>
      <c r="Y496" s="478"/>
      <c r="Z496" s="478"/>
    </row>
    <row r="497" spans="1:26" ht="22.5" customHeight="1">
      <c r="A497" s="478"/>
      <c r="O497" s="478"/>
      <c r="P497" s="478"/>
      <c r="Q497" s="478"/>
      <c r="R497" s="478"/>
      <c r="S497" s="478"/>
      <c r="T497" s="478"/>
      <c r="U497" s="478"/>
      <c r="V497" s="478"/>
      <c r="W497" s="478"/>
      <c r="X497" s="478"/>
      <c r="Y497" s="478"/>
      <c r="Z497" s="478"/>
    </row>
    <row r="498" spans="1:26" ht="22.5" customHeight="1">
      <c r="A498" s="478"/>
      <c r="O498" s="478"/>
      <c r="P498" s="478"/>
      <c r="Q498" s="478"/>
      <c r="R498" s="478"/>
      <c r="S498" s="478"/>
      <c r="T498" s="478"/>
      <c r="U498" s="478"/>
      <c r="V498" s="478"/>
      <c r="W498" s="478"/>
      <c r="X498" s="478"/>
      <c r="Y498" s="478"/>
      <c r="Z498" s="478"/>
    </row>
    <row r="499" spans="1:26" ht="22.5" customHeight="1">
      <c r="A499" s="478"/>
      <c r="O499" s="478"/>
      <c r="P499" s="478"/>
      <c r="Q499" s="478"/>
      <c r="R499" s="478"/>
      <c r="S499" s="478"/>
      <c r="T499" s="478"/>
      <c r="U499" s="478"/>
      <c r="V499" s="478"/>
      <c r="W499" s="478"/>
      <c r="X499" s="478"/>
      <c r="Y499" s="478"/>
      <c r="Z499" s="478"/>
    </row>
    <row r="500" spans="1:26" ht="22.5" customHeight="1">
      <c r="A500" s="478"/>
      <c r="O500" s="478"/>
      <c r="P500" s="478"/>
      <c r="Q500" s="478"/>
      <c r="R500" s="478"/>
      <c r="S500" s="478"/>
      <c r="T500" s="478"/>
      <c r="U500" s="478"/>
      <c r="V500" s="478"/>
      <c r="W500" s="478"/>
      <c r="X500" s="478"/>
      <c r="Y500" s="478"/>
      <c r="Z500" s="478"/>
    </row>
    <row r="501" spans="1:26" ht="22.5" customHeight="1">
      <c r="A501" s="478"/>
      <c r="O501" s="478"/>
      <c r="P501" s="478"/>
      <c r="Q501" s="478"/>
      <c r="R501" s="478"/>
      <c r="S501" s="478"/>
      <c r="T501" s="478"/>
      <c r="U501" s="478"/>
      <c r="V501" s="478"/>
      <c r="W501" s="478"/>
      <c r="X501" s="478"/>
      <c r="Y501" s="478"/>
      <c r="Z501" s="478"/>
    </row>
    <row r="502" spans="1:26" ht="22.5" customHeight="1">
      <c r="A502" s="478"/>
      <c r="O502" s="478"/>
      <c r="P502" s="478"/>
      <c r="Q502" s="478"/>
      <c r="R502" s="478"/>
      <c r="S502" s="478"/>
      <c r="T502" s="478"/>
      <c r="U502" s="478"/>
      <c r="V502" s="478"/>
      <c r="W502" s="478"/>
      <c r="X502" s="478"/>
      <c r="Y502" s="478"/>
      <c r="Z502" s="478"/>
    </row>
    <row r="503" spans="1:26" ht="22.5" customHeight="1">
      <c r="A503" s="478"/>
      <c r="O503" s="478"/>
      <c r="P503" s="478"/>
      <c r="Q503" s="478"/>
      <c r="R503" s="478"/>
      <c r="S503" s="478"/>
      <c r="T503" s="478"/>
      <c r="U503" s="478"/>
      <c r="V503" s="478"/>
      <c r="W503" s="478"/>
      <c r="X503" s="478"/>
      <c r="Y503" s="478"/>
      <c r="Z503" s="478"/>
    </row>
    <row r="504" spans="1:26" ht="22.5" customHeight="1">
      <c r="A504" s="478"/>
      <c r="O504" s="478"/>
      <c r="P504" s="478"/>
      <c r="Q504" s="478"/>
      <c r="R504" s="478"/>
      <c r="S504" s="478"/>
      <c r="T504" s="478"/>
      <c r="U504" s="478"/>
      <c r="V504" s="478"/>
      <c r="W504" s="478"/>
      <c r="X504" s="478"/>
      <c r="Y504" s="478"/>
      <c r="Z504" s="478"/>
    </row>
    <row r="505" spans="1:26" ht="22.5" customHeight="1">
      <c r="A505" s="478"/>
      <c r="O505" s="478"/>
      <c r="P505" s="478"/>
      <c r="Q505" s="478"/>
      <c r="R505" s="478"/>
      <c r="S505" s="478"/>
      <c r="T505" s="478"/>
      <c r="U505" s="478"/>
      <c r="V505" s="478"/>
      <c r="W505" s="478"/>
      <c r="X505" s="478"/>
      <c r="Y505" s="478"/>
      <c r="Z505" s="478"/>
    </row>
    <row r="506" spans="1:26" ht="22.5" customHeight="1">
      <c r="A506" s="478"/>
      <c r="O506" s="478"/>
      <c r="P506" s="478"/>
      <c r="Q506" s="478"/>
      <c r="R506" s="478"/>
      <c r="S506" s="478"/>
      <c r="T506" s="478"/>
      <c r="U506" s="478"/>
      <c r="V506" s="478"/>
      <c r="W506" s="478"/>
      <c r="X506" s="478"/>
      <c r="Y506" s="478"/>
      <c r="Z506" s="478"/>
    </row>
    <row r="507" spans="1:26" ht="22.5" customHeight="1">
      <c r="A507" s="478"/>
      <c r="O507" s="478"/>
      <c r="P507" s="478"/>
      <c r="Q507" s="478"/>
      <c r="R507" s="478"/>
      <c r="S507" s="478"/>
      <c r="T507" s="478"/>
      <c r="U507" s="478"/>
      <c r="V507" s="478"/>
      <c r="W507" s="478"/>
      <c r="X507" s="478"/>
      <c r="Y507" s="478"/>
      <c r="Z507" s="478"/>
    </row>
    <row r="508" spans="1:26" ht="22.5" customHeight="1">
      <c r="A508" s="478"/>
      <c r="O508" s="478"/>
      <c r="P508" s="478"/>
      <c r="Q508" s="478"/>
      <c r="R508" s="478"/>
      <c r="S508" s="478"/>
      <c r="T508" s="478"/>
      <c r="U508" s="478"/>
      <c r="V508" s="478"/>
      <c r="W508" s="478"/>
      <c r="X508" s="478"/>
      <c r="Y508" s="478"/>
      <c r="Z508" s="478"/>
    </row>
    <row r="509" spans="1:26" ht="22.5" customHeight="1">
      <c r="A509" s="478"/>
      <c r="O509" s="478"/>
      <c r="P509" s="478"/>
      <c r="Q509" s="478"/>
      <c r="R509" s="478"/>
      <c r="S509" s="478"/>
      <c r="T509" s="478"/>
      <c r="U509" s="478"/>
      <c r="V509" s="478"/>
      <c r="W509" s="478"/>
      <c r="X509" s="478"/>
      <c r="Y509" s="478"/>
      <c r="Z509" s="478"/>
    </row>
    <row r="510" spans="1:26" ht="22.5" customHeight="1">
      <c r="A510" s="478"/>
      <c r="O510" s="478"/>
      <c r="P510" s="478"/>
      <c r="Q510" s="478"/>
      <c r="R510" s="478"/>
      <c r="S510" s="478"/>
      <c r="T510" s="478"/>
      <c r="U510" s="478"/>
      <c r="V510" s="478"/>
      <c r="W510" s="478"/>
      <c r="X510" s="478"/>
      <c r="Y510" s="478"/>
      <c r="Z510" s="478"/>
    </row>
    <row r="511" spans="1:26" ht="22.5" customHeight="1">
      <c r="A511" s="478"/>
      <c r="O511" s="478"/>
      <c r="P511" s="478"/>
      <c r="Q511" s="478"/>
      <c r="R511" s="478"/>
      <c r="S511" s="478"/>
      <c r="T511" s="478"/>
      <c r="U511" s="478"/>
      <c r="V511" s="478"/>
      <c r="W511" s="478"/>
      <c r="X511" s="478"/>
      <c r="Y511" s="478"/>
      <c r="Z511" s="478"/>
    </row>
    <row r="512" spans="1:26" ht="22.5" customHeight="1">
      <c r="A512" s="478"/>
      <c r="O512" s="478"/>
      <c r="P512" s="478"/>
      <c r="Q512" s="478"/>
      <c r="R512" s="478"/>
      <c r="S512" s="478"/>
      <c r="T512" s="478"/>
      <c r="U512" s="478"/>
      <c r="V512" s="478"/>
      <c r="W512" s="478"/>
      <c r="X512" s="478"/>
      <c r="Y512" s="478"/>
      <c r="Z512" s="478"/>
    </row>
    <row r="513" spans="1:26" ht="22.5" customHeight="1">
      <c r="A513" s="478"/>
      <c r="O513" s="478"/>
      <c r="P513" s="478"/>
      <c r="Q513" s="478"/>
      <c r="R513" s="478"/>
      <c r="S513" s="478"/>
      <c r="T513" s="478"/>
      <c r="U513" s="478"/>
      <c r="V513" s="478"/>
      <c r="W513" s="478"/>
      <c r="X513" s="478"/>
      <c r="Y513" s="478"/>
      <c r="Z513" s="478"/>
    </row>
    <row r="514" spans="1:26" ht="22.5" customHeight="1">
      <c r="A514" s="478"/>
      <c r="O514" s="478"/>
      <c r="P514" s="478"/>
      <c r="Q514" s="478"/>
      <c r="R514" s="478"/>
      <c r="S514" s="478"/>
      <c r="T514" s="478"/>
      <c r="U514" s="478"/>
      <c r="V514" s="478"/>
      <c r="W514" s="478"/>
      <c r="X514" s="478"/>
      <c r="Y514" s="478"/>
      <c r="Z514" s="478"/>
    </row>
    <row r="515" spans="1:26" ht="22.5" customHeight="1">
      <c r="A515" s="478"/>
      <c r="O515" s="478"/>
      <c r="P515" s="478"/>
      <c r="Q515" s="478"/>
      <c r="R515" s="478"/>
      <c r="S515" s="478"/>
      <c r="T515" s="478"/>
      <c r="U515" s="478"/>
      <c r="V515" s="478"/>
      <c r="W515" s="478"/>
      <c r="X515" s="478"/>
      <c r="Y515" s="478"/>
      <c r="Z515" s="478"/>
    </row>
    <row r="516" spans="1:26" ht="22.5" customHeight="1">
      <c r="A516" s="478"/>
      <c r="O516" s="478"/>
      <c r="P516" s="478"/>
      <c r="Q516" s="478"/>
      <c r="R516" s="478"/>
      <c r="S516" s="478"/>
      <c r="T516" s="478"/>
      <c r="U516" s="478"/>
      <c r="V516" s="478"/>
      <c r="W516" s="478"/>
      <c r="X516" s="478"/>
      <c r="Y516" s="478"/>
      <c r="Z516" s="478"/>
    </row>
    <row r="517" spans="1:26" ht="22.5" customHeight="1">
      <c r="A517" s="478"/>
      <c r="O517" s="478"/>
      <c r="P517" s="478"/>
      <c r="Q517" s="478"/>
      <c r="R517" s="478"/>
      <c r="S517" s="478"/>
      <c r="T517" s="478"/>
      <c r="U517" s="478"/>
      <c r="V517" s="478"/>
      <c r="W517" s="478"/>
      <c r="X517" s="478"/>
      <c r="Y517" s="478"/>
      <c r="Z517" s="478"/>
    </row>
    <row r="518" spans="1:26" ht="22.5" customHeight="1">
      <c r="A518" s="478"/>
      <c r="O518" s="478"/>
      <c r="P518" s="478"/>
      <c r="Q518" s="478"/>
      <c r="R518" s="478"/>
      <c r="S518" s="478"/>
      <c r="T518" s="478"/>
      <c r="U518" s="478"/>
      <c r="V518" s="478"/>
      <c r="W518" s="478"/>
      <c r="X518" s="478"/>
      <c r="Y518" s="478"/>
      <c r="Z518" s="478"/>
    </row>
    <row r="519" spans="1:26" ht="22.5" customHeight="1">
      <c r="A519" s="478"/>
      <c r="O519" s="478"/>
      <c r="P519" s="478"/>
      <c r="Q519" s="478"/>
      <c r="R519" s="478"/>
      <c r="S519" s="478"/>
      <c r="T519" s="478"/>
      <c r="U519" s="478"/>
      <c r="V519" s="478"/>
      <c r="W519" s="478"/>
      <c r="X519" s="478"/>
      <c r="Y519" s="478"/>
      <c r="Z519" s="478"/>
    </row>
    <row r="520" spans="1:26" ht="22.5" customHeight="1">
      <c r="A520" s="478"/>
      <c r="O520" s="478"/>
      <c r="P520" s="478"/>
      <c r="Q520" s="478"/>
      <c r="R520" s="478"/>
      <c r="S520" s="478"/>
      <c r="T520" s="478"/>
      <c r="U520" s="478"/>
      <c r="V520" s="478"/>
      <c r="W520" s="478"/>
      <c r="X520" s="478"/>
      <c r="Y520" s="478"/>
      <c r="Z520" s="478"/>
    </row>
    <row r="521" spans="1:26" ht="22.5" customHeight="1">
      <c r="A521" s="478"/>
      <c r="O521" s="478"/>
      <c r="P521" s="478"/>
      <c r="Q521" s="478"/>
      <c r="R521" s="478"/>
      <c r="S521" s="478"/>
      <c r="T521" s="478"/>
      <c r="U521" s="478"/>
      <c r="V521" s="478"/>
      <c r="W521" s="478"/>
      <c r="X521" s="478"/>
      <c r="Y521" s="478"/>
      <c r="Z521" s="478"/>
    </row>
    <row r="522" spans="1:26" ht="22.5" customHeight="1">
      <c r="A522" s="478"/>
      <c r="O522" s="478"/>
      <c r="P522" s="478"/>
      <c r="Q522" s="478"/>
      <c r="R522" s="478"/>
      <c r="S522" s="478"/>
      <c r="T522" s="478"/>
      <c r="U522" s="478"/>
      <c r="V522" s="478"/>
      <c r="W522" s="478"/>
      <c r="X522" s="478"/>
      <c r="Y522" s="478"/>
      <c r="Z522" s="478"/>
    </row>
    <row r="523" spans="1:26" ht="22.5" customHeight="1">
      <c r="A523" s="478"/>
      <c r="O523" s="478"/>
      <c r="P523" s="478"/>
      <c r="Q523" s="478"/>
      <c r="R523" s="478"/>
      <c r="S523" s="478"/>
      <c r="T523" s="478"/>
      <c r="U523" s="478"/>
      <c r="V523" s="478"/>
      <c r="W523" s="478"/>
      <c r="X523" s="478"/>
      <c r="Y523" s="478"/>
      <c r="Z523" s="478"/>
    </row>
    <row r="524" spans="1:26" ht="22.5" customHeight="1">
      <c r="A524" s="478"/>
      <c r="O524" s="478"/>
      <c r="P524" s="478"/>
      <c r="Q524" s="478"/>
      <c r="R524" s="478"/>
      <c r="S524" s="478"/>
      <c r="T524" s="478"/>
      <c r="U524" s="478"/>
      <c r="V524" s="478"/>
      <c r="W524" s="478"/>
      <c r="X524" s="478"/>
      <c r="Y524" s="478"/>
      <c r="Z524" s="478"/>
    </row>
    <row r="525" spans="1:26" ht="22.5" customHeight="1">
      <c r="A525" s="478"/>
      <c r="O525" s="478"/>
      <c r="P525" s="478"/>
      <c r="Q525" s="478"/>
      <c r="R525" s="478"/>
      <c r="S525" s="478"/>
      <c r="T525" s="478"/>
      <c r="U525" s="478"/>
      <c r="V525" s="478"/>
      <c r="W525" s="478"/>
      <c r="X525" s="478"/>
      <c r="Y525" s="478"/>
      <c r="Z525" s="478"/>
    </row>
    <row r="526" spans="1:26" ht="22.5" customHeight="1">
      <c r="A526" s="478"/>
      <c r="O526" s="478"/>
      <c r="P526" s="478"/>
      <c r="Q526" s="478"/>
      <c r="R526" s="478"/>
      <c r="S526" s="478"/>
      <c r="T526" s="478"/>
      <c r="U526" s="478"/>
      <c r="V526" s="478"/>
      <c r="W526" s="478"/>
      <c r="X526" s="478"/>
      <c r="Y526" s="478"/>
      <c r="Z526" s="478"/>
    </row>
    <row r="527" spans="1:26" ht="22.5" customHeight="1">
      <c r="A527" s="478"/>
      <c r="O527" s="478"/>
      <c r="P527" s="478"/>
      <c r="Q527" s="478"/>
      <c r="R527" s="478"/>
      <c r="S527" s="478"/>
      <c r="T527" s="478"/>
      <c r="U527" s="478"/>
      <c r="V527" s="478"/>
      <c r="W527" s="478"/>
      <c r="X527" s="478"/>
      <c r="Y527" s="478"/>
      <c r="Z527" s="478"/>
    </row>
    <row r="528" spans="1:26" ht="22.5" customHeight="1">
      <c r="A528" s="478"/>
      <c r="O528" s="478"/>
      <c r="P528" s="478"/>
      <c r="Q528" s="478"/>
      <c r="R528" s="478"/>
      <c r="S528" s="478"/>
      <c r="T528" s="478"/>
      <c r="U528" s="478"/>
      <c r="V528" s="478"/>
      <c r="W528" s="478"/>
      <c r="X528" s="478"/>
      <c r="Y528" s="478"/>
      <c r="Z528" s="478"/>
    </row>
    <row r="529" spans="1:26" ht="22.5" customHeight="1">
      <c r="A529" s="478"/>
      <c r="O529" s="478"/>
      <c r="P529" s="478"/>
      <c r="Q529" s="478"/>
      <c r="R529" s="478"/>
      <c r="S529" s="478"/>
      <c r="T529" s="478"/>
      <c r="U529" s="478"/>
      <c r="V529" s="478"/>
      <c r="W529" s="478"/>
      <c r="X529" s="478"/>
      <c r="Y529" s="478"/>
      <c r="Z529" s="478"/>
    </row>
    <row r="530" spans="1:26" ht="22.5" customHeight="1">
      <c r="A530" s="478"/>
      <c r="O530" s="478"/>
      <c r="P530" s="478"/>
      <c r="Q530" s="478"/>
      <c r="R530" s="478"/>
      <c r="S530" s="478"/>
      <c r="T530" s="478"/>
      <c r="U530" s="478"/>
      <c r="V530" s="478"/>
      <c r="W530" s="478"/>
      <c r="X530" s="478"/>
      <c r="Y530" s="478"/>
      <c r="Z530" s="478"/>
    </row>
    <row r="531" spans="1:26" ht="22.5" customHeight="1">
      <c r="A531" s="478"/>
      <c r="O531" s="478"/>
      <c r="P531" s="478"/>
      <c r="Q531" s="478"/>
      <c r="R531" s="478"/>
      <c r="S531" s="478"/>
      <c r="T531" s="478"/>
      <c r="U531" s="478"/>
      <c r="V531" s="478"/>
      <c r="W531" s="478"/>
      <c r="X531" s="478"/>
      <c r="Y531" s="478"/>
      <c r="Z531" s="478"/>
    </row>
    <row r="532" spans="1:26" ht="22.5" customHeight="1">
      <c r="A532" s="478"/>
      <c r="O532" s="478"/>
      <c r="P532" s="478"/>
      <c r="Q532" s="478"/>
      <c r="R532" s="478"/>
      <c r="S532" s="478"/>
      <c r="T532" s="478"/>
      <c r="U532" s="478"/>
      <c r="V532" s="478"/>
      <c r="W532" s="478"/>
      <c r="X532" s="478"/>
      <c r="Y532" s="478"/>
      <c r="Z532" s="478"/>
    </row>
    <row r="533" spans="1:26" ht="22.5" customHeight="1">
      <c r="A533" s="478"/>
      <c r="O533" s="478"/>
      <c r="P533" s="478"/>
      <c r="Q533" s="478"/>
      <c r="R533" s="478"/>
      <c r="S533" s="478"/>
      <c r="T533" s="478"/>
      <c r="U533" s="478"/>
      <c r="V533" s="478"/>
      <c r="W533" s="478"/>
      <c r="X533" s="478"/>
      <c r="Y533" s="478"/>
      <c r="Z533" s="478"/>
    </row>
    <row r="534" spans="1:26" ht="22.5" customHeight="1">
      <c r="A534" s="478"/>
      <c r="O534" s="478"/>
      <c r="P534" s="478"/>
      <c r="Q534" s="478"/>
      <c r="R534" s="478"/>
      <c r="S534" s="478"/>
      <c r="T534" s="478"/>
      <c r="U534" s="478"/>
      <c r="V534" s="478"/>
      <c r="W534" s="478"/>
      <c r="X534" s="478"/>
      <c r="Y534" s="478"/>
      <c r="Z534" s="478"/>
    </row>
    <row r="535" spans="1:26" ht="22.5" customHeight="1">
      <c r="A535" s="478"/>
      <c r="O535" s="478"/>
      <c r="P535" s="478"/>
      <c r="Q535" s="478"/>
      <c r="R535" s="478"/>
      <c r="S535" s="478"/>
      <c r="T535" s="478"/>
      <c r="U535" s="478"/>
      <c r="V535" s="478"/>
      <c r="W535" s="478"/>
      <c r="X535" s="478"/>
      <c r="Y535" s="478"/>
      <c r="Z535" s="478"/>
    </row>
    <row r="536" spans="1:26" ht="22.5" customHeight="1">
      <c r="A536" s="478"/>
      <c r="O536" s="478"/>
      <c r="P536" s="478"/>
      <c r="Q536" s="478"/>
      <c r="R536" s="478"/>
      <c r="S536" s="478"/>
      <c r="T536" s="478"/>
      <c r="U536" s="478"/>
      <c r="V536" s="478"/>
      <c r="W536" s="478"/>
      <c r="X536" s="478"/>
      <c r="Y536" s="478"/>
      <c r="Z536" s="478"/>
    </row>
    <row r="537" spans="1:26" ht="22.5" customHeight="1">
      <c r="A537" s="478"/>
      <c r="O537" s="478"/>
      <c r="P537" s="478"/>
      <c r="Q537" s="478"/>
      <c r="R537" s="478"/>
      <c r="S537" s="478"/>
      <c r="T537" s="478"/>
      <c r="U537" s="478"/>
      <c r="V537" s="478"/>
      <c r="W537" s="478"/>
      <c r="X537" s="478"/>
      <c r="Y537" s="478"/>
      <c r="Z537" s="478"/>
    </row>
    <row r="538" spans="1:26" ht="22.5" customHeight="1">
      <c r="A538" s="478"/>
      <c r="O538" s="478"/>
      <c r="P538" s="478"/>
      <c r="Q538" s="478"/>
      <c r="R538" s="478"/>
      <c r="S538" s="478"/>
      <c r="T538" s="478"/>
      <c r="U538" s="478"/>
      <c r="V538" s="478"/>
      <c r="W538" s="478"/>
      <c r="X538" s="478"/>
      <c r="Y538" s="478"/>
      <c r="Z538" s="478"/>
    </row>
    <row r="539" spans="1:26" ht="22.5" customHeight="1">
      <c r="A539" s="478"/>
      <c r="O539" s="478"/>
      <c r="P539" s="478"/>
      <c r="Q539" s="478"/>
      <c r="R539" s="478"/>
      <c r="S539" s="478"/>
      <c r="T539" s="478"/>
      <c r="U539" s="478"/>
      <c r="V539" s="478"/>
      <c r="W539" s="478"/>
      <c r="X539" s="478"/>
      <c r="Y539" s="478"/>
      <c r="Z539" s="478"/>
    </row>
    <row r="540" spans="1:26" ht="22.5" customHeight="1">
      <c r="A540" s="478"/>
      <c r="O540" s="478"/>
      <c r="P540" s="478"/>
      <c r="Q540" s="478"/>
      <c r="R540" s="478"/>
      <c r="S540" s="478"/>
      <c r="T540" s="478"/>
      <c r="U540" s="478"/>
      <c r="V540" s="478"/>
      <c r="W540" s="478"/>
      <c r="X540" s="478"/>
      <c r="Y540" s="478"/>
      <c r="Z540" s="478"/>
    </row>
    <row r="541" spans="1:26" ht="22.5" customHeight="1">
      <c r="A541" s="478"/>
      <c r="O541" s="478"/>
      <c r="P541" s="478"/>
      <c r="Q541" s="478"/>
      <c r="R541" s="478"/>
      <c r="S541" s="478"/>
      <c r="T541" s="478"/>
      <c r="U541" s="478"/>
      <c r="V541" s="478"/>
      <c r="W541" s="478"/>
      <c r="X541" s="478"/>
      <c r="Y541" s="478"/>
      <c r="Z541" s="478"/>
    </row>
    <row r="542" spans="1:26" ht="22.5" customHeight="1">
      <c r="A542" s="478"/>
      <c r="O542" s="478"/>
      <c r="P542" s="478"/>
      <c r="Q542" s="478"/>
      <c r="R542" s="478"/>
      <c r="S542" s="478"/>
      <c r="T542" s="478"/>
      <c r="U542" s="478"/>
      <c r="V542" s="478"/>
      <c r="W542" s="478"/>
      <c r="X542" s="478"/>
      <c r="Y542" s="478"/>
      <c r="Z542" s="478"/>
    </row>
    <row r="543" spans="1:26" ht="22.5" customHeight="1">
      <c r="A543" s="478"/>
      <c r="O543" s="478"/>
      <c r="P543" s="478"/>
      <c r="Q543" s="478"/>
      <c r="R543" s="478"/>
      <c r="S543" s="478"/>
      <c r="T543" s="478"/>
      <c r="U543" s="478"/>
      <c r="V543" s="478"/>
      <c r="W543" s="478"/>
      <c r="X543" s="478"/>
      <c r="Y543" s="478"/>
      <c r="Z543" s="478"/>
    </row>
    <row r="544" spans="1:26" ht="22.5" customHeight="1">
      <c r="A544" s="478"/>
      <c r="O544" s="478"/>
      <c r="P544" s="478"/>
      <c r="Q544" s="478"/>
      <c r="R544" s="478"/>
      <c r="S544" s="478"/>
      <c r="T544" s="478"/>
      <c r="U544" s="478"/>
      <c r="V544" s="478"/>
      <c r="W544" s="478"/>
      <c r="X544" s="478"/>
      <c r="Y544" s="478"/>
      <c r="Z544" s="478"/>
    </row>
    <row r="545" spans="1:26" ht="22.5" customHeight="1">
      <c r="A545" s="478"/>
      <c r="O545" s="478"/>
      <c r="P545" s="478"/>
      <c r="Q545" s="478"/>
      <c r="R545" s="478"/>
      <c r="S545" s="478"/>
      <c r="T545" s="478"/>
      <c r="U545" s="478"/>
      <c r="V545" s="478"/>
      <c r="W545" s="478"/>
      <c r="X545" s="478"/>
      <c r="Y545" s="478"/>
      <c r="Z545" s="478"/>
    </row>
    <row r="546" spans="1:26" ht="22.5" customHeight="1">
      <c r="A546" s="478"/>
      <c r="O546" s="478"/>
      <c r="P546" s="478"/>
      <c r="Q546" s="478"/>
      <c r="R546" s="478"/>
      <c r="S546" s="478"/>
      <c r="T546" s="478"/>
      <c r="U546" s="478"/>
      <c r="V546" s="478"/>
      <c r="W546" s="478"/>
      <c r="X546" s="478"/>
      <c r="Y546" s="478"/>
      <c r="Z546" s="478"/>
    </row>
    <row r="547" spans="1:26" ht="22.5" customHeight="1">
      <c r="A547" s="478"/>
      <c r="O547" s="478"/>
      <c r="P547" s="478"/>
      <c r="Q547" s="478"/>
      <c r="R547" s="478"/>
      <c r="S547" s="478"/>
      <c r="T547" s="478"/>
      <c r="U547" s="478"/>
      <c r="V547" s="478"/>
      <c r="W547" s="478"/>
      <c r="X547" s="478"/>
      <c r="Y547" s="478"/>
      <c r="Z547" s="478"/>
    </row>
    <row r="548" spans="1:26" ht="22.5" customHeight="1">
      <c r="A548" s="478"/>
      <c r="O548" s="478"/>
      <c r="P548" s="478"/>
      <c r="Q548" s="478"/>
      <c r="R548" s="478"/>
      <c r="S548" s="478"/>
      <c r="T548" s="478"/>
      <c r="U548" s="478"/>
      <c r="V548" s="478"/>
      <c r="W548" s="478"/>
      <c r="X548" s="478"/>
      <c r="Y548" s="478"/>
      <c r="Z548" s="478"/>
    </row>
    <row r="549" spans="1:26" ht="22.5" customHeight="1">
      <c r="A549" s="478"/>
      <c r="O549" s="478"/>
      <c r="P549" s="478"/>
      <c r="Q549" s="478"/>
      <c r="R549" s="478"/>
      <c r="S549" s="478"/>
      <c r="T549" s="478"/>
      <c r="U549" s="478"/>
      <c r="V549" s="478"/>
      <c r="W549" s="478"/>
      <c r="X549" s="478"/>
      <c r="Y549" s="478"/>
      <c r="Z549" s="478"/>
    </row>
    <row r="550" spans="1:26" ht="22.5" customHeight="1">
      <c r="A550" s="478"/>
      <c r="O550" s="478"/>
      <c r="P550" s="478"/>
      <c r="Q550" s="478"/>
      <c r="R550" s="478"/>
      <c r="S550" s="478"/>
      <c r="T550" s="478"/>
      <c r="U550" s="478"/>
      <c r="V550" s="478"/>
      <c r="W550" s="478"/>
      <c r="X550" s="478"/>
      <c r="Y550" s="478"/>
      <c r="Z550" s="478"/>
    </row>
    <row r="551" spans="1:26" ht="22.5" customHeight="1">
      <c r="A551" s="478"/>
      <c r="O551" s="478"/>
      <c r="P551" s="478"/>
      <c r="Q551" s="478"/>
      <c r="R551" s="478"/>
      <c r="S551" s="478"/>
      <c r="T551" s="478"/>
      <c r="U551" s="478"/>
      <c r="V551" s="478"/>
      <c r="W551" s="478"/>
      <c r="X551" s="478"/>
      <c r="Y551" s="478"/>
      <c r="Z551" s="478"/>
    </row>
    <row r="552" spans="1:26" ht="22.5" customHeight="1">
      <c r="A552" s="478"/>
      <c r="O552" s="478"/>
      <c r="P552" s="478"/>
      <c r="Q552" s="478"/>
      <c r="R552" s="478"/>
      <c r="S552" s="478"/>
      <c r="T552" s="478"/>
      <c r="U552" s="478"/>
      <c r="V552" s="478"/>
      <c r="W552" s="478"/>
      <c r="X552" s="478"/>
      <c r="Y552" s="478"/>
      <c r="Z552" s="478"/>
    </row>
    <row r="553" spans="1:26" ht="22.5" customHeight="1">
      <c r="A553" s="478"/>
      <c r="O553" s="478"/>
      <c r="P553" s="478"/>
      <c r="Q553" s="478"/>
      <c r="R553" s="478"/>
      <c r="S553" s="478"/>
      <c r="T553" s="478"/>
      <c r="U553" s="478"/>
      <c r="V553" s="478"/>
      <c r="W553" s="478"/>
      <c r="X553" s="478"/>
      <c r="Y553" s="478"/>
      <c r="Z553" s="478"/>
    </row>
    <row r="554" spans="1:26" ht="22.5" customHeight="1">
      <c r="A554" s="478"/>
      <c r="O554" s="478"/>
      <c r="P554" s="478"/>
      <c r="Q554" s="478"/>
      <c r="R554" s="478"/>
      <c r="S554" s="478"/>
      <c r="T554" s="478"/>
      <c r="U554" s="478"/>
      <c r="V554" s="478"/>
      <c r="W554" s="478"/>
      <c r="X554" s="478"/>
      <c r="Y554" s="478"/>
      <c r="Z554" s="478"/>
    </row>
    <row r="555" spans="1:26" ht="22.5" customHeight="1">
      <c r="A555" s="478"/>
      <c r="O555" s="478"/>
      <c r="P555" s="478"/>
      <c r="Q555" s="478"/>
      <c r="R555" s="478"/>
      <c r="S555" s="478"/>
      <c r="T555" s="478"/>
      <c r="U555" s="478"/>
      <c r="V555" s="478"/>
      <c r="W555" s="478"/>
      <c r="X555" s="478"/>
      <c r="Y555" s="478"/>
      <c r="Z555" s="478"/>
    </row>
    <row r="556" spans="1:26" ht="22.5" customHeight="1">
      <c r="A556" s="478"/>
      <c r="O556" s="478"/>
      <c r="P556" s="478"/>
      <c r="Q556" s="478"/>
      <c r="R556" s="478"/>
      <c r="S556" s="478"/>
      <c r="T556" s="478"/>
      <c r="U556" s="478"/>
      <c r="V556" s="478"/>
      <c r="W556" s="478"/>
      <c r="X556" s="478"/>
      <c r="Y556" s="478"/>
      <c r="Z556" s="478"/>
    </row>
    <row r="557" spans="1:26" ht="22.5" customHeight="1">
      <c r="A557" s="478"/>
      <c r="O557" s="478"/>
      <c r="P557" s="478"/>
      <c r="Q557" s="478"/>
      <c r="R557" s="478"/>
      <c r="S557" s="478"/>
      <c r="T557" s="478"/>
      <c r="U557" s="478"/>
      <c r="V557" s="478"/>
      <c r="W557" s="478"/>
      <c r="X557" s="478"/>
      <c r="Y557" s="478"/>
      <c r="Z557" s="478"/>
    </row>
    <row r="558" spans="1:26" ht="22.5" customHeight="1">
      <c r="A558" s="478"/>
      <c r="O558" s="478"/>
      <c r="P558" s="478"/>
      <c r="Q558" s="478"/>
      <c r="R558" s="478"/>
      <c r="S558" s="478"/>
      <c r="T558" s="478"/>
      <c r="U558" s="478"/>
      <c r="V558" s="478"/>
      <c r="W558" s="478"/>
      <c r="X558" s="478"/>
      <c r="Y558" s="478"/>
      <c r="Z558" s="478"/>
    </row>
    <row r="559" spans="1:26" ht="22.5" customHeight="1">
      <c r="A559" s="478"/>
      <c r="O559" s="478"/>
      <c r="P559" s="478"/>
      <c r="Q559" s="478"/>
      <c r="R559" s="478"/>
      <c r="S559" s="478"/>
      <c r="T559" s="478"/>
      <c r="U559" s="478"/>
      <c r="V559" s="478"/>
      <c r="W559" s="478"/>
      <c r="X559" s="478"/>
      <c r="Y559" s="478"/>
      <c r="Z559" s="478"/>
    </row>
    <row r="560" spans="1:26" ht="22.5" customHeight="1">
      <c r="A560" s="478"/>
      <c r="O560" s="478"/>
      <c r="P560" s="478"/>
      <c r="Q560" s="478"/>
      <c r="R560" s="478"/>
      <c r="S560" s="478"/>
      <c r="T560" s="478"/>
      <c r="U560" s="478"/>
      <c r="V560" s="478"/>
      <c r="W560" s="478"/>
      <c r="X560" s="478"/>
      <c r="Y560" s="478"/>
      <c r="Z560" s="478"/>
    </row>
    <row r="561" spans="1:26" ht="22.5" customHeight="1">
      <c r="A561" s="478"/>
      <c r="O561" s="478"/>
      <c r="P561" s="478"/>
      <c r="Q561" s="478"/>
      <c r="R561" s="478"/>
      <c r="S561" s="478"/>
      <c r="T561" s="478"/>
      <c r="U561" s="478"/>
      <c r="V561" s="478"/>
      <c r="W561" s="478"/>
      <c r="X561" s="478"/>
      <c r="Y561" s="478"/>
      <c r="Z561" s="478"/>
    </row>
    <row r="562" spans="1:26" ht="22.5" customHeight="1">
      <c r="A562" s="478"/>
      <c r="O562" s="478"/>
      <c r="P562" s="478"/>
      <c r="Q562" s="478"/>
      <c r="R562" s="478"/>
      <c r="S562" s="478"/>
      <c r="T562" s="478"/>
      <c r="U562" s="478"/>
      <c r="V562" s="478"/>
      <c r="W562" s="478"/>
      <c r="X562" s="478"/>
      <c r="Y562" s="478"/>
      <c r="Z562" s="478"/>
    </row>
    <row r="563" spans="1:26" ht="22.5" customHeight="1">
      <c r="A563" s="478"/>
      <c r="O563" s="478"/>
      <c r="P563" s="478"/>
      <c r="Q563" s="478"/>
      <c r="R563" s="478"/>
      <c r="S563" s="478"/>
      <c r="T563" s="478"/>
      <c r="U563" s="478"/>
      <c r="V563" s="478"/>
      <c r="W563" s="478"/>
      <c r="X563" s="478"/>
      <c r="Y563" s="478"/>
      <c r="Z563" s="478"/>
    </row>
    <row r="564" spans="1:26" ht="22.5" customHeight="1">
      <c r="A564" s="478"/>
      <c r="O564" s="478"/>
      <c r="P564" s="478"/>
      <c r="Q564" s="478"/>
      <c r="R564" s="478"/>
      <c r="S564" s="478"/>
      <c r="T564" s="478"/>
      <c r="U564" s="478"/>
      <c r="V564" s="478"/>
      <c r="W564" s="478"/>
      <c r="X564" s="478"/>
      <c r="Y564" s="478"/>
      <c r="Z564" s="478"/>
    </row>
    <row r="565" spans="1:26" ht="22.5" customHeight="1">
      <c r="A565" s="478"/>
      <c r="O565" s="478"/>
      <c r="P565" s="478"/>
      <c r="Q565" s="478"/>
      <c r="R565" s="478"/>
      <c r="S565" s="478"/>
      <c r="T565" s="478"/>
      <c r="U565" s="478"/>
      <c r="V565" s="478"/>
      <c r="W565" s="478"/>
      <c r="X565" s="478"/>
      <c r="Y565" s="478"/>
      <c r="Z565" s="478"/>
    </row>
    <row r="566" spans="1:26" ht="22.5" customHeight="1">
      <c r="A566" s="478"/>
      <c r="O566" s="478"/>
      <c r="P566" s="478"/>
      <c r="Q566" s="478"/>
      <c r="R566" s="478"/>
      <c r="S566" s="478"/>
      <c r="T566" s="478"/>
      <c r="U566" s="478"/>
      <c r="V566" s="478"/>
      <c r="W566" s="478"/>
      <c r="X566" s="478"/>
      <c r="Y566" s="478"/>
      <c r="Z566" s="478"/>
    </row>
    <row r="567" spans="1:26" ht="22.5" customHeight="1">
      <c r="A567" s="478"/>
      <c r="O567" s="478"/>
      <c r="P567" s="478"/>
      <c r="Q567" s="478"/>
      <c r="R567" s="478"/>
      <c r="S567" s="478"/>
      <c r="T567" s="478"/>
      <c r="U567" s="478"/>
      <c r="V567" s="478"/>
      <c r="W567" s="478"/>
      <c r="X567" s="478"/>
      <c r="Y567" s="478"/>
      <c r="Z567" s="478"/>
    </row>
    <row r="568" spans="1:26" ht="22.5" customHeight="1">
      <c r="A568" s="478"/>
      <c r="O568" s="478"/>
      <c r="P568" s="478"/>
      <c r="Q568" s="478"/>
      <c r="R568" s="478"/>
      <c r="S568" s="478"/>
      <c r="T568" s="478"/>
      <c r="U568" s="478"/>
      <c r="V568" s="478"/>
      <c r="W568" s="478"/>
      <c r="X568" s="478"/>
      <c r="Y568" s="478"/>
      <c r="Z568" s="478"/>
    </row>
    <row r="569" spans="1:26" ht="22.5" customHeight="1">
      <c r="A569" s="478"/>
      <c r="O569" s="478"/>
      <c r="P569" s="478"/>
      <c r="Q569" s="478"/>
      <c r="R569" s="478"/>
      <c r="S569" s="478"/>
      <c r="T569" s="478"/>
      <c r="U569" s="478"/>
      <c r="V569" s="478"/>
      <c r="W569" s="478"/>
      <c r="X569" s="478"/>
      <c r="Y569" s="478"/>
      <c r="Z569" s="478"/>
    </row>
    <row r="570" spans="1:26" ht="22.5" customHeight="1">
      <c r="A570" s="478"/>
      <c r="O570" s="478"/>
      <c r="P570" s="478"/>
      <c r="Q570" s="478"/>
      <c r="R570" s="478"/>
      <c r="S570" s="478"/>
      <c r="T570" s="478"/>
      <c r="U570" s="478"/>
      <c r="V570" s="478"/>
      <c r="W570" s="478"/>
      <c r="X570" s="478"/>
      <c r="Y570" s="478"/>
      <c r="Z570" s="478"/>
    </row>
    <row r="571" spans="1:26" ht="22.5" customHeight="1">
      <c r="A571" s="478"/>
      <c r="O571" s="478"/>
      <c r="P571" s="478"/>
      <c r="Q571" s="478"/>
      <c r="R571" s="478"/>
      <c r="S571" s="478"/>
      <c r="T571" s="478"/>
      <c r="U571" s="478"/>
      <c r="V571" s="478"/>
      <c r="W571" s="478"/>
      <c r="X571" s="478"/>
      <c r="Y571" s="478"/>
      <c r="Z571" s="478"/>
    </row>
    <row r="572" spans="1:26" ht="22.5" customHeight="1">
      <c r="A572" s="478"/>
      <c r="O572" s="478"/>
      <c r="P572" s="478"/>
      <c r="Q572" s="478"/>
      <c r="R572" s="478"/>
      <c r="S572" s="478"/>
      <c r="T572" s="478"/>
      <c r="U572" s="478"/>
      <c r="V572" s="478"/>
      <c r="W572" s="478"/>
      <c r="X572" s="478"/>
      <c r="Y572" s="478"/>
      <c r="Z572" s="478"/>
    </row>
    <row r="573" spans="1:26" ht="22.5" customHeight="1">
      <c r="A573" s="478"/>
      <c r="O573" s="478"/>
      <c r="P573" s="478"/>
      <c r="Q573" s="478"/>
      <c r="R573" s="478"/>
      <c r="S573" s="478"/>
      <c r="T573" s="478"/>
      <c r="U573" s="478"/>
      <c r="V573" s="478"/>
      <c r="W573" s="478"/>
      <c r="X573" s="478"/>
      <c r="Y573" s="478"/>
      <c r="Z573" s="478"/>
    </row>
    <row r="574" spans="1:26" ht="22.5" customHeight="1">
      <c r="A574" s="478"/>
      <c r="O574" s="478"/>
      <c r="P574" s="478"/>
      <c r="Q574" s="478"/>
      <c r="R574" s="478"/>
      <c r="S574" s="478"/>
      <c r="T574" s="478"/>
      <c r="U574" s="478"/>
      <c r="V574" s="478"/>
      <c r="W574" s="478"/>
      <c r="X574" s="478"/>
      <c r="Y574" s="478"/>
      <c r="Z574" s="478"/>
    </row>
    <row r="575" spans="1:26" ht="22.5" customHeight="1">
      <c r="A575" s="478"/>
      <c r="O575" s="478"/>
      <c r="P575" s="478"/>
      <c r="Q575" s="478"/>
      <c r="R575" s="478"/>
      <c r="S575" s="478"/>
      <c r="T575" s="478"/>
      <c r="U575" s="478"/>
      <c r="V575" s="478"/>
      <c r="W575" s="478"/>
      <c r="X575" s="478"/>
      <c r="Y575" s="478"/>
      <c r="Z575" s="478"/>
    </row>
    <row r="576" spans="1:26" ht="22.5" customHeight="1">
      <c r="A576" s="478"/>
      <c r="O576" s="478"/>
      <c r="P576" s="478"/>
      <c r="Q576" s="478"/>
      <c r="R576" s="478"/>
      <c r="S576" s="478"/>
      <c r="T576" s="478"/>
      <c r="U576" s="478"/>
      <c r="V576" s="478"/>
      <c r="W576" s="478"/>
      <c r="X576" s="478"/>
      <c r="Y576" s="478"/>
      <c r="Z576" s="478"/>
    </row>
    <row r="577" spans="1:26" ht="22.5" customHeight="1">
      <c r="A577" s="478"/>
      <c r="O577" s="478"/>
      <c r="P577" s="478"/>
      <c r="Q577" s="478"/>
      <c r="R577" s="478"/>
      <c r="S577" s="478"/>
      <c r="T577" s="478"/>
      <c r="U577" s="478"/>
      <c r="V577" s="478"/>
      <c r="W577" s="478"/>
      <c r="X577" s="478"/>
      <c r="Y577" s="478"/>
      <c r="Z577" s="478"/>
    </row>
    <row r="578" spans="1:26" ht="22.5" customHeight="1">
      <c r="A578" s="478"/>
      <c r="O578" s="478"/>
      <c r="P578" s="478"/>
      <c r="Q578" s="478"/>
      <c r="R578" s="478"/>
      <c r="S578" s="478"/>
      <c r="T578" s="478"/>
      <c r="U578" s="478"/>
      <c r="V578" s="478"/>
      <c r="W578" s="478"/>
      <c r="X578" s="478"/>
      <c r="Y578" s="478"/>
      <c r="Z578" s="478"/>
    </row>
    <row r="579" spans="1:26" ht="22.5" customHeight="1">
      <c r="A579" s="478"/>
      <c r="O579" s="478"/>
      <c r="P579" s="478"/>
      <c r="Q579" s="478"/>
      <c r="R579" s="478"/>
      <c r="S579" s="478"/>
      <c r="T579" s="478"/>
      <c r="U579" s="478"/>
      <c r="V579" s="478"/>
      <c r="W579" s="478"/>
      <c r="X579" s="478"/>
      <c r="Y579" s="478"/>
      <c r="Z579" s="478"/>
    </row>
    <row r="580" spans="1:26" ht="22.5" customHeight="1">
      <c r="A580" s="478"/>
      <c r="O580" s="478"/>
      <c r="P580" s="478"/>
      <c r="Q580" s="478"/>
      <c r="R580" s="478"/>
      <c r="S580" s="478"/>
      <c r="T580" s="478"/>
      <c r="U580" s="478"/>
      <c r="V580" s="478"/>
      <c r="W580" s="478"/>
      <c r="X580" s="478"/>
      <c r="Y580" s="478"/>
      <c r="Z580" s="478"/>
    </row>
    <row r="581" spans="1:26" ht="22.5" customHeight="1">
      <c r="A581" s="478"/>
      <c r="O581" s="478"/>
      <c r="P581" s="478"/>
      <c r="Q581" s="478"/>
      <c r="R581" s="478"/>
      <c r="S581" s="478"/>
      <c r="T581" s="478"/>
      <c r="U581" s="478"/>
      <c r="V581" s="478"/>
      <c r="W581" s="478"/>
      <c r="X581" s="478"/>
      <c r="Y581" s="478"/>
      <c r="Z581" s="478"/>
    </row>
    <row r="582" spans="1:26" ht="22.5" customHeight="1">
      <c r="A582" s="478"/>
      <c r="O582" s="478"/>
      <c r="P582" s="478"/>
      <c r="Q582" s="478"/>
      <c r="R582" s="478"/>
      <c r="S582" s="478"/>
      <c r="T582" s="478"/>
      <c r="U582" s="478"/>
      <c r="V582" s="478"/>
      <c r="W582" s="478"/>
      <c r="X582" s="478"/>
      <c r="Y582" s="478"/>
      <c r="Z582" s="478"/>
    </row>
    <row r="583" spans="1:26" ht="22.5" customHeight="1">
      <c r="A583" s="478"/>
      <c r="O583" s="478"/>
      <c r="P583" s="478"/>
      <c r="Q583" s="478"/>
      <c r="R583" s="478"/>
      <c r="S583" s="478"/>
      <c r="T583" s="478"/>
      <c r="U583" s="478"/>
      <c r="V583" s="478"/>
      <c r="W583" s="478"/>
      <c r="X583" s="478"/>
      <c r="Y583" s="478"/>
      <c r="Z583" s="478"/>
    </row>
    <row r="584" spans="1:26" ht="22.5" customHeight="1">
      <c r="A584" s="478"/>
      <c r="O584" s="478"/>
      <c r="P584" s="478"/>
      <c r="Q584" s="478"/>
      <c r="R584" s="478"/>
      <c r="S584" s="478"/>
      <c r="T584" s="478"/>
      <c r="U584" s="478"/>
      <c r="V584" s="478"/>
      <c r="W584" s="478"/>
      <c r="X584" s="478"/>
      <c r="Y584" s="478"/>
      <c r="Z584" s="478"/>
    </row>
    <row r="585" spans="1:26" ht="22.5" customHeight="1">
      <c r="A585" s="478"/>
      <c r="O585" s="478"/>
      <c r="P585" s="478"/>
      <c r="Q585" s="478"/>
      <c r="R585" s="478"/>
      <c r="S585" s="478"/>
      <c r="T585" s="478"/>
      <c r="U585" s="478"/>
      <c r="V585" s="478"/>
      <c r="W585" s="478"/>
      <c r="X585" s="478"/>
      <c r="Y585" s="478"/>
      <c r="Z585" s="478"/>
    </row>
    <row r="586" spans="1:26" ht="22.5" customHeight="1">
      <c r="A586" s="478"/>
      <c r="O586" s="478"/>
      <c r="P586" s="478"/>
      <c r="Q586" s="478"/>
      <c r="R586" s="478"/>
      <c r="S586" s="478"/>
      <c r="T586" s="478"/>
      <c r="U586" s="478"/>
      <c r="V586" s="478"/>
      <c r="W586" s="478"/>
      <c r="X586" s="478"/>
      <c r="Y586" s="478"/>
      <c r="Z586" s="478"/>
    </row>
    <row r="587" spans="1:26" ht="22.5" customHeight="1">
      <c r="A587" s="478"/>
      <c r="O587" s="478"/>
      <c r="P587" s="478"/>
      <c r="Q587" s="478"/>
      <c r="R587" s="478"/>
      <c r="S587" s="478"/>
      <c r="T587" s="478"/>
      <c r="U587" s="478"/>
      <c r="V587" s="478"/>
      <c r="W587" s="478"/>
      <c r="X587" s="478"/>
      <c r="Y587" s="478"/>
      <c r="Z587" s="478"/>
    </row>
    <row r="588" spans="1:26" ht="22.5" customHeight="1">
      <c r="A588" s="478"/>
      <c r="O588" s="478"/>
      <c r="P588" s="478"/>
      <c r="Q588" s="478"/>
      <c r="R588" s="478"/>
      <c r="S588" s="478"/>
      <c r="T588" s="478"/>
      <c r="U588" s="478"/>
      <c r="V588" s="478"/>
      <c r="W588" s="478"/>
      <c r="X588" s="478"/>
      <c r="Y588" s="478"/>
      <c r="Z588" s="478"/>
    </row>
    <row r="589" spans="1:26" ht="22.5" customHeight="1">
      <c r="A589" s="478"/>
      <c r="O589" s="478"/>
      <c r="P589" s="478"/>
      <c r="Q589" s="478"/>
      <c r="R589" s="478"/>
      <c r="S589" s="478"/>
      <c r="T589" s="478"/>
      <c r="U589" s="478"/>
      <c r="V589" s="478"/>
      <c r="W589" s="478"/>
      <c r="X589" s="478"/>
      <c r="Y589" s="478"/>
      <c r="Z589" s="478"/>
    </row>
    <row r="590" spans="1:26" ht="22.5" customHeight="1">
      <c r="A590" s="478"/>
      <c r="O590" s="478"/>
      <c r="P590" s="478"/>
      <c r="Q590" s="478"/>
      <c r="R590" s="478"/>
      <c r="S590" s="478"/>
      <c r="T590" s="478"/>
      <c r="U590" s="478"/>
      <c r="V590" s="478"/>
      <c r="W590" s="478"/>
      <c r="X590" s="478"/>
      <c r="Y590" s="478"/>
      <c r="Z590" s="478"/>
    </row>
    <row r="591" spans="1:26" ht="22.5" customHeight="1">
      <c r="A591" s="478"/>
      <c r="O591" s="478"/>
      <c r="P591" s="478"/>
      <c r="Q591" s="478"/>
      <c r="R591" s="478"/>
      <c r="S591" s="478"/>
      <c r="T591" s="478"/>
      <c r="U591" s="478"/>
      <c r="V591" s="478"/>
      <c r="W591" s="478"/>
      <c r="X591" s="478"/>
      <c r="Y591" s="478"/>
      <c r="Z591" s="478"/>
    </row>
    <row r="592" spans="1:26" ht="22.5" customHeight="1">
      <c r="A592" s="478"/>
      <c r="O592" s="478"/>
      <c r="P592" s="478"/>
      <c r="Q592" s="478"/>
      <c r="R592" s="478"/>
      <c r="S592" s="478"/>
      <c r="T592" s="478"/>
      <c r="U592" s="478"/>
      <c r="V592" s="478"/>
      <c r="W592" s="478"/>
      <c r="X592" s="478"/>
      <c r="Y592" s="478"/>
      <c r="Z592" s="478"/>
    </row>
    <row r="593" spans="1:26" ht="22.5" customHeight="1">
      <c r="A593" s="478"/>
      <c r="O593" s="478"/>
      <c r="P593" s="478"/>
      <c r="Q593" s="478"/>
      <c r="R593" s="478"/>
      <c r="S593" s="478"/>
      <c r="T593" s="478"/>
      <c r="U593" s="478"/>
      <c r="V593" s="478"/>
      <c r="W593" s="478"/>
      <c r="X593" s="478"/>
      <c r="Y593" s="478"/>
      <c r="Z593" s="478"/>
    </row>
    <row r="594" spans="1:26" ht="22.5" customHeight="1">
      <c r="A594" s="478"/>
      <c r="O594" s="478"/>
      <c r="P594" s="478"/>
      <c r="Q594" s="478"/>
      <c r="R594" s="478"/>
      <c r="S594" s="478"/>
      <c r="T594" s="478"/>
      <c r="U594" s="478"/>
      <c r="V594" s="478"/>
      <c r="W594" s="478"/>
      <c r="X594" s="478"/>
      <c r="Y594" s="478"/>
      <c r="Z594" s="478"/>
    </row>
    <row r="595" spans="1:26" ht="22.5" customHeight="1">
      <c r="A595" s="478"/>
      <c r="O595" s="478"/>
      <c r="P595" s="478"/>
      <c r="Q595" s="478"/>
      <c r="R595" s="478"/>
      <c r="S595" s="478"/>
      <c r="T595" s="478"/>
      <c r="U595" s="478"/>
      <c r="V595" s="478"/>
      <c r="W595" s="478"/>
      <c r="X595" s="478"/>
      <c r="Y595" s="478"/>
      <c r="Z595" s="478"/>
    </row>
    <row r="596" spans="1:26" ht="22.5" customHeight="1">
      <c r="A596" s="478"/>
      <c r="O596" s="478"/>
      <c r="P596" s="478"/>
      <c r="Q596" s="478"/>
      <c r="R596" s="478"/>
      <c r="S596" s="478"/>
      <c r="T596" s="478"/>
      <c r="U596" s="478"/>
      <c r="V596" s="478"/>
      <c r="W596" s="478"/>
      <c r="X596" s="478"/>
      <c r="Y596" s="478"/>
      <c r="Z596" s="478"/>
    </row>
    <row r="597" spans="1:26" ht="22.5" customHeight="1">
      <c r="A597" s="478"/>
      <c r="O597" s="478"/>
      <c r="P597" s="478"/>
      <c r="Q597" s="478"/>
      <c r="R597" s="478"/>
      <c r="S597" s="478"/>
      <c r="T597" s="478"/>
      <c r="U597" s="478"/>
      <c r="V597" s="478"/>
      <c r="W597" s="478"/>
      <c r="X597" s="478"/>
      <c r="Y597" s="478"/>
      <c r="Z597" s="478"/>
    </row>
    <row r="598" spans="1:26" ht="22.5" customHeight="1">
      <c r="A598" s="478"/>
      <c r="O598" s="478"/>
      <c r="P598" s="478"/>
      <c r="Q598" s="478"/>
      <c r="R598" s="478"/>
      <c r="S598" s="478"/>
      <c r="T598" s="478"/>
      <c r="U598" s="478"/>
      <c r="V598" s="478"/>
      <c r="W598" s="478"/>
      <c r="X598" s="478"/>
      <c r="Y598" s="478"/>
      <c r="Z598" s="478"/>
    </row>
    <row r="599" spans="1:26" ht="22.5" customHeight="1">
      <c r="A599" s="478"/>
      <c r="O599" s="478"/>
      <c r="P599" s="478"/>
      <c r="Q599" s="478"/>
      <c r="R599" s="478"/>
      <c r="S599" s="478"/>
      <c r="T599" s="478"/>
      <c r="U599" s="478"/>
      <c r="V599" s="478"/>
      <c r="W599" s="478"/>
      <c r="X599" s="478"/>
      <c r="Y599" s="478"/>
      <c r="Z599" s="478"/>
    </row>
    <row r="600" spans="1:26" ht="22.5" customHeight="1">
      <c r="A600" s="478"/>
      <c r="O600" s="478"/>
      <c r="P600" s="478"/>
      <c r="Q600" s="478"/>
      <c r="R600" s="478"/>
      <c r="S600" s="478"/>
      <c r="T600" s="478"/>
      <c r="U600" s="478"/>
      <c r="V600" s="478"/>
      <c r="W600" s="478"/>
      <c r="X600" s="478"/>
      <c r="Y600" s="478"/>
      <c r="Z600" s="478"/>
    </row>
    <row r="601" spans="1:26" ht="22.5" customHeight="1">
      <c r="A601" s="478"/>
      <c r="O601" s="478"/>
      <c r="P601" s="478"/>
      <c r="Q601" s="478"/>
      <c r="R601" s="478"/>
      <c r="S601" s="478"/>
      <c r="T601" s="478"/>
      <c r="U601" s="478"/>
      <c r="V601" s="478"/>
      <c r="W601" s="478"/>
      <c r="X601" s="478"/>
      <c r="Y601" s="478"/>
      <c r="Z601" s="478"/>
    </row>
    <row r="602" spans="1:26" ht="22.5" customHeight="1">
      <c r="A602" s="478"/>
      <c r="O602" s="478"/>
      <c r="P602" s="478"/>
      <c r="Q602" s="478"/>
      <c r="R602" s="478"/>
      <c r="S602" s="478"/>
      <c r="T602" s="478"/>
      <c r="U602" s="478"/>
      <c r="V602" s="478"/>
      <c r="W602" s="478"/>
      <c r="X602" s="478"/>
      <c r="Y602" s="478"/>
      <c r="Z602" s="478"/>
    </row>
    <row r="603" spans="1:26" ht="22.5" customHeight="1">
      <c r="A603" s="478"/>
      <c r="O603" s="478"/>
      <c r="P603" s="478"/>
      <c r="Q603" s="478"/>
      <c r="R603" s="478"/>
      <c r="S603" s="478"/>
      <c r="T603" s="478"/>
      <c r="U603" s="478"/>
      <c r="V603" s="478"/>
      <c r="W603" s="478"/>
      <c r="X603" s="478"/>
      <c r="Y603" s="478"/>
      <c r="Z603" s="478"/>
    </row>
    <row r="604" spans="1:26" ht="22.5" customHeight="1">
      <c r="A604" s="478"/>
      <c r="O604" s="478"/>
      <c r="P604" s="478"/>
      <c r="Q604" s="478"/>
      <c r="R604" s="478"/>
      <c r="S604" s="478"/>
      <c r="T604" s="478"/>
      <c r="U604" s="478"/>
      <c r="V604" s="478"/>
      <c r="W604" s="478"/>
      <c r="X604" s="478"/>
      <c r="Y604" s="478"/>
      <c r="Z604" s="478"/>
    </row>
    <row r="605" spans="1:26" ht="22.5" customHeight="1">
      <c r="A605" s="478"/>
      <c r="O605" s="478"/>
      <c r="P605" s="478"/>
      <c r="Q605" s="478"/>
      <c r="R605" s="478"/>
      <c r="S605" s="478"/>
      <c r="T605" s="478"/>
      <c r="U605" s="478"/>
      <c r="V605" s="478"/>
      <c r="W605" s="478"/>
      <c r="X605" s="478"/>
      <c r="Y605" s="478"/>
      <c r="Z605" s="478"/>
    </row>
    <row r="606" spans="1:26" ht="22.5" customHeight="1">
      <c r="A606" s="478"/>
      <c r="O606" s="478"/>
      <c r="P606" s="478"/>
      <c r="Q606" s="478"/>
      <c r="R606" s="478"/>
      <c r="S606" s="478"/>
      <c r="T606" s="478"/>
      <c r="U606" s="478"/>
      <c r="V606" s="478"/>
      <c r="W606" s="478"/>
      <c r="X606" s="478"/>
      <c r="Y606" s="478"/>
      <c r="Z606" s="478"/>
    </row>
    <row r="607" spans="1:26" ht="22.5" customHeight="1">
      <c r="A607" s="478"/>
      <c r="O607" s="478"/>
      <c r="P607" s="478"/>
      <c r="Q607" s="478"/>
      <c r="R607" s="478"/>
      <c r="S607" s="478"/>
      <c r="T607" s="478"/>
      <c r="U607" s="478"/>
      <c r="V607" s="478"/>
      <c r="W607" s="478"/>
      <c r="X607" s="478"/>
      <c r="Y607" s="478"/>
      <c r="Z607" s="478"/>
    </row>
    <row r="608" spans="1:26" ht="22.5" customHeight="1">
      <c r="A608" s="478"/>
      <c r="O608" s="478"/>
      <c r="P608" s="478"/>
      <c r="Q608" s="478"/>
      <c r="R608" s="478"/>
      <c r="S608" s="478"/>
      <c r="T608" s="478"/>
      <c r="U608" s="478"/>
      <c r="V608" s="478"/>
      <c r="W608" s="478"/>
      <c r="X608" s="478"/>
      <c r="Y608" s="478"/>
      <c r="Z608" s="478"/>
    </row>
    <row r="609" spans="1:26" ht="22.5" customHeight="1">
      <c r="A609" s="478"/>
      <c r="O609" s="478"/>
      <c r="P609" s="478"/>
      <c r="Q609" s="478"/>
      <c r="R609" s="478"/>
      <c r="S609" s="478"/>
      <c r="T609" s="478"/>
      <c r="U609" s="478"/>
      <c r="V609" s="478"/>
      <c r="W609" s="478"/>
      <c r="X609" s="478"/>
      <c r="Y609" s="478"/>
      <c r="Z609" s="478"/>
    </row>
    <row r="610" spans="1:26" ht="22.5" customHeight="1">
      <c r="A610" s="478"/>
      <c r="O610" s="478"/>
      <c r="P610" s="478"/>
      <c r="Q610" s="478"/>
      <c r="R610" s="478"/>
      <c r="S610" s="478"/>
      <c r="T610" s="478"/>
      <c r="U610" s="478"/>
      <c r="V610" s="478"/>
      <c r="W610" s="478"/>
      <c r="X610" s="478"/>
      <c r="Y610" s="478"/>
      <c r="Z610" s="478"/>
    </row>
    <row r="611" spans="1:26" ht="22.5" customHeight="1">
      <c r="A611" s="478"/>
      <c r="O611" s="478"/>
      <c r="P611" s="478"/>
      <c r="Q611" s="478"/>
      <c r="R611" s="478"/>
      <c r="S611" s="478"/>
      <c r="T611" s="478"/>
      <c r="U611" s="478"/>
      <c r="V611" s="478"/>
      <c r="W611" s="478"/>
      <c r="X611" s="478"/>
      <c r="Y611" s="478"/>
      <c r="Z611" s="478"/>
    </row>
    <row r="612" spans="1:26" ht="22.5" customHeight="1">
      <c r="A612" s="478"/>
      <c r="O612" s="478"/>
      <c r="P612" s="478"/>
      <c r="Q612" s="478"/>
      <c r="R612" s="478"/>
      <c r="S612" s="478"/>
      <c r="T612" s="478"/>
      <c r="U612" s="478"/>
      <c r="V612" s="478"/>
      <c r="W612" s="478"/>
      <c r="X612" s="478"/>
      <c r="Y612" s="478"/>
      <c r="Z612" s="478"/>
    </row>
    <row r="613" spans="1:26" ht="22.5" customHeight="1">
      <c r="A613" s="478"/>
      <c r="O613" s="478"/>
      <c r="P613" s="478"/>
      <c r="Q613" s="478"/>
      <c r="R613" s="478"/>
      <c r="S613" s="478"/>
      <c r="T613" s="478"/>
      <c r="U613" s="478"/>
      <c r="V613" s="478"/>
      <c r="W613" s="478"/>
      <c r="X613" s="478"/>
      <c r="Y613" s="478"/>
      <c r="Z613" s="478"/>
    </row>
    <row r="614" spans="1:26" ht="22.5" customHeight="1">
      <c r="A614" s="478"/>
      <c r="O614" s="478"/>
      <c r="P614" s="478"/>
      <c r="Q614" s="478"/>
      <c r="R614" s="478"/>
      <c r="S614" s="478"/>
      <c r="T614" s="478"/>
      <c r="U614" s="478"/>
      <c r="V614" s="478"/>
      <c r="W614" s="478"/>
      <c r="X614" s="478"/>
      <c r="Y614" s="478"/>
      <c r="Z614" s="478"/>
    </row>
    <row r="615" spans="1:26" ht="22.5" customHeight="1">
      <c r="A615" s="478"/>
      <c r="O615" s="478"/>
      <c r="P615" s="478"/>
      <c r="Q615" s="478"/>
      <c r="R615" s="478"/>
      <c r="S615" s="478"/>
      <c r="T615" s="478"/>
      <c r="U615" s="478"/>
      <c r="V615" s="478"/>
      <c r="W615" s="478"/>
      <c r="X615" s="478"/>
      <c r="Y615" s="478"/>
      <c r="Z615" s="478"/>
    </row>
    <row r="616" spans="1:26" ht="22.5" customHeight="1">
      <c r="A616" s="478"/>
      <c r="O616" s="478"/>
      <c r="P616" s="478"/>
      <c r="Q616" s="478"/>
      <c r="R616" s="478"/>
      <c r="S616" s="478"/>
      <c r="T616" s="478"/>
      <c r="U616" s="478"/>
      <c r="V616" s="478"/>
      <c r="W616" s="478"/>
      <c r="X616" s="478"/>
      <c r="Y616" s="478"/>
      <c r="Z616" s="478"/>
    </row>
    <row r="617" spans="1:26" ht="22.5" customHeight="1">
      <c r="A617" s="478"/>
      <c r="O617" s="478"/>
      <c r="P617" s="478"/>
      <c r="Q617" s="478"/>
      <c r="R617" s="478"/>
      <c r="S617" s="478"/>
      <c r="T617" s="478"/>
      <c r="U617" s="478"/>
      <c r="V617" s="478"/>
      <c r="W617" s="478"/>
      <c r="X617" s="478"/>
      <c r="Y617" s="478"/>
      <c r="Z617" s="478"/>
    </row>
    <row r="618" spans="1:26" ht="22.5" customHeight="1">
      <c r="A618" s="478"/>
      <c r="O618" s="478"/>
      <c r="P618" s="478"/>
      <c r="Q618" s="478"/>
      <c r="R618" s="478"/>
      <c r="S618" s="478"/>
      <c r="T618" s="478"/>
      <c r="U618" s="478"/>
      <c r="V618" s="478"/>
      <c r="W618" s="478"/>
      <c r="X618" s="478"/>
      <c r="Y618" s="478"/>
      <c r="Z618" s="478"/>
    </row>
    <row r="619" spans="1:26" ht="22.5" customHeight="1">
      <c r="A619" s="478"/>
      <c r="O619" s="478"/>
      <c r="P619" s="478"/>
      <c r="Q619" s="478"/>
      <c r="R619" s="478"/>
      <c r="S619" s="478"/>
      <c r="T619" s="478"/>
      <c r="U619" s="478"/>
      <c r="V619" s="478"/>
      <c r="W619" s="478"/>
      <c r="X619" s="478"/>
      <c r="Y619" s="478"/>
      <c r="Z619" s="478"/>
    </row>
    <row r="620" spans="1:26" ht="22.5" customHeight="1">
      <c r="A620" s="478"/>
      <c r="O620" s="478"/>
      <c r="P620" s="478"/>
      <c r="Q620" s="478"/>
      <c r="R620" s="478"/>
      <c r="S620" s="478"/>
      <c r="T620" s="478"/>
      <c r="U620" s="478"/>
      <c r="V620" s="478"/>
      <c r="W620" s="478"/>
      <c r="X620" s="478"/>
      <c r="Y620" s="478"/>
      <c r="Z620" s="478"/>
    </row>
    <row r="621" spans="1:26" ht="22.5" customHeight="1">
      <c r="A621" s="478"/>
      <c r="O621" s="478"/>
      <c r="P621" s="478"/>
      <c r="Q621" s="478"/>
      <c r="R621" s="478"/>
      <c r="S621" s="478"/>
      <c r="T621" s="478"/>
      <c r="U621" s="478"/>
      <c r="V621" s="478"/>
      <c r="W621" s="478"/>
      <c r="X621" s="478"/>
      <c r="Y621" s="478"/>
      <c r="Z621" s="478"/>
    </row>
    <row r="622" spans="1:26" ht="22.5" customHeight="1">
      <c r="A622" s="478"/>
      <c r="O622" s="478"/>
      <c r="P622" s="478"/>
      <c r="Q622" s="478"/>
      <c r="R622" s="478"/>
      <c r="S622" s="478"/>
      <c r="T622" s="478"/>
      <c r="U622" s="478"/>
      <c r="V622" s="478"/>
      <c r="W622" s="478"/>
      <c r="X622" s="478"/>
      <c r="Y622" s="478"/>
      <c r="Z622" s="478"/>
    </row>
    <row r="623" spans="1:26" ht="22.5" customHeight="1">
      <c r="A623" s="478"/>
      <c r="O623" s="478"/>
      <c r="P623" s="478"/>
      <c r="Q623" s="478"/>
      <c r="R623" s="478"/>
      <c r="S623" s="478"/>
      <c r="T623" s="478"/>
      <c r="U623" s="478"/>
      <c r="V623" s="478"/>
      <c r="W623" s="478"/>
      <c r="X623" s="478"/>
      <c r="Y623" s="478"/>
      <c r="Z623" s="478"/>
    </row>
    <row r="624" spans="1:26" ht="22.5" customHeight="1">
      <c r="A624" s="478"/>
      <c r="O624" s="478"/>
      <c r="P624" s="478"/>
      <c r="Q624" s="478"/>
      <c r="R624" s="478"/>
      <c r="S624" s="478"/>
      <c r="T624" s="478"/>
      <c r="U624" s="478"/>
      <c r="V624" s="478"/>
      <c r="W624" s="478"/>
      <c r="X624" s="478"/>
      <c r="Y624" s="478"/>
      <c r="Z624" s="478"/>
    </row>
    <row r="625" spans="1:26" ht="22.5" customHeight="1">
      <c r="A625" s="478"/>
      <c r="O625" s="478"/>
      <c r="P625" s="478"/>
      <c r="Q625" s="478"/>
      <c r="R625" s="478"/>
      <c r="S625" s="478"/>
      <c r="T625" s="478"/>
      <c r="U625" s="478"/>
      <c r="V625" s="478"/>
      <c r="W625" s="478"/>
      <c r="X625" s="478"/>
      <c r="Y625" s="478"/>
      <c r="Z625" s="478"/>
    </row>
    <row r="626" spans="1:26" ht="22.5" customHeight="1">
      <c r="A626" s="478"/>
      <c r="O626" s="478"/>
      <c r="P626" s="478"/>
      <c r="Q626" s="478"/>
      <c r="R626" s="478"/>
      <c r="S626" s="478"/>
      <c r="T626" s="478"/>
      <c r="U626" s="478"/>
      <c r="V626" s="478"/>
      <c r="W626" s="478"/>
      <c r="X626" s="478"/>
      <c r="Y626" s="478"/>
      <c r="Z626" s="478"/>
    </row>
    <row r="627" spans="1:26" ht="22.5" customHeight="1">
      <c r="A627" s="478"/>
      <c r="O627" s="478"/>
      <c r="P627" s="478"/>
      <c r="Q627" s="478"/>
      <c r="R627" s="478"/>
      <c r="S627" s="478"/>
      <c r="T627" s="478"/>
      <c r="U627" s="478"/>
      <c r="V627" s="478"/>
      <c r="W627" s="478"/>
      <c r="X627" s="478"/>
      <c r="Y627" s="478"/>
      <c r="Z627" s="478"/>
    </row>
    <row r="628" spans="1:26" ht="22.5" customHeight="1">
      <c r="A628" s="478"/>
      <c r="O628" s="478"/>
      <c r="P628" s="478"/>
      <c r="Q628" s="478"/>
      <c r="R628" s="478"/>
      <c r="S628" s="478"/>
      <c r="T628" s="478"/>
      <c r="U628" s="478"/>
      <c r="V628" s="478"/>
      <c r="W628" s="478"/>
      <c r="X628" s="478"/>
      <c r="Y628" s="478"/>
      <c r="Z628" s="478"/>
    </row>
    <row r="629" spans="1:26" ht="22.5" customHeight="1">
      <c r="A629" s="478"/>
      <c r="O629" s="478"/>
      <c r="P629" s="478"/>
      <c r="Q629" s="478"/>
      <c r="R629" s="478"/>
      <c r="S629" s="478"/>
      <c r="T629" s="478"/>
      <c r="U629" s="478"/>
      <c r="V629" s="478"/>
      <c r="W629" s="478"/>
      <c r="X629" s="478"/>
      <c r="Y629" s="478"/>
      <c r="Z629" s="478"/>
    </row>
    <row r="630" spans="1:26" ht="22.5" customHeight="1">
      <c r="A630" s="478"/>
      <c r="O630" s="478"/>
      <c r="P630" s="478"/>
      <c r="Q630" s="478"/>
      <c r="R630" s="478"/>
      <c r="S630" s="478"/>
      <c r="T630" s="478"/>
      <c r="U630" s="478"/>
      <c r="V630" s="478"/>
      <c r="W630" s="478"/>
      <c r="X630" s="478"/>
      <c r="Y630" s="478"/>
      <c r="Z630" s="478"/>
    </row>
    <row r="631" spans="1:26" ht="22.5" customHeight="1">
      <c r="A631" s="478"/>
      <c r="O631" s="478"/>
      <c r="P631" s="478"/>
      <c r="Q631" s="478"/>
      <c r="R631" s="478"/>
      <c r="S631" s="478"/>
      <c r="T631" s="478"/>
      <c r="U631" s="478"/>
      <c r="V631" s="478"/>
      <c r="W631" s="478"/>
      <c r="X631" s="478"/>
      <c r="Y631" s="478"/>
      <c r="Z631" s="478"/>
    </row>
    <row r="632" spans="1:26" ht="22.5" customHeight="1">
      <c r="A632" s="478"/>
      <c r="O632" s="478"/>
      <c r="P632" s="478"/>
      <c r="Q632" s="478"/>
      <c r="R632" s="478"/>
      <c r="S632" s="478"/>
      <c r="T632" s="478"/>
      <c r="U632" s="478"/>
      <c r="V632" s="478"/>
      <c r="W632" s="478"/>
      <c r="X632" s="478"/>
      <c r="Y632" s="478"/>
      <c r="Z632" s="478"/>
    </row>
    <row r="633" spans="1:26" ht="22.5" customHeight="1">
      <c r="A633" s="478"/>
      <c r="O633" s="478"/>
      <c r="P633" s="478"/>
      <c r="Q633" s="478"/>
      <c r="R633" s="478"/>
      <c r="S633" s="478"/>
      <c r="T633" s="478"/>
      <c r="U633" s="478"/>
      <c r="V633" s="478"/>
      <c r="W633" s="478"/>
      <c r="X633" s="478"/>
      <c r="Y633" s="478"/>
      <c r="Z633" s="478"/>
    </row>
    <row r="634" spans="1:26" ht="22.5" customHeight="1">
      <c r="A634" s="478"/>
      <c r="O634" s="478"/>
      <c r="P634" s="478"/>
      <c r="Q634" s="478"/>
      <c r="R634" s="478"/>
      <c r="S634" s="478"/>
      <c r="T634" s="478"/>
      <c r="U634" s="478"/>
      <c r="V634" s="478"/>
      <c r="W634" s="478"/>
      <c r="X634" s="478"/>
      <c r="Y634" s="478"/>
      <c r="Z634" s="478"/>
    </row>
    <row r="635" spans="1:26" ht="22.5" customHeight="1">
      <c r="A635" s="478"/>
      <c r="O635" s="478"/>
      <c r="P635" s="478"/>
      <c r="Q635" s="478"/>
      <c r="R635" s="478"/>
      <c r="S635" s="478"/>
      <c r="T635" s="478"/>
      <c r="U635" s="478"/>
      <c r="V635" s="478"/>
      <c r="W635" s="478"/>
      <c r="X635" s="478"/>
      <c r="Y635" s="478"/>
      <c r="Z635" s="478"/>
    </row>
    <row r="636" spans="1:26" ht="22.5" customHeight="1">
      <c r="A636" s="478"/>
      <c r="O636" s="478"/>
      <c r="P636" s="478"/>
      <c r="Q636" s="478"/>
      <c r="R636" s="478"/>
      <c r="S636" s="478"/>
      <c r="T636" s="478"/>
      <c r="U636" s="478"/>
      <c r="V636" s="478"/>
      <c r="W636" s="478"/>
      <c r="X636" s="478"/>
      <c r="Y636" s="478"/>
      <c r="Z636" s="478"/>
    </row>
    <row r="637" spans="1:26" ht="22.5" customHeight="1">
      <c r="A637" s="478"/>
      <c r="O637" s="478"/>
      <c r="P637" s="478"/>
      <c r="Q637" s="478"/>
      <c r="R637" s="478"/>
      <c r="S637" s="478"/>
      <c r="T637" s="478"/>
      <c r="U637" s="478"/>
      <c r="V637" s="478"/>
      <c r="W637" s="478"/>
      <c r="X637" s="478"/>
      <c r="Y637" s="478"/>
      <c r="Z637" s="478"/>
    </row>
    <row r="638" spans="1:26" ht="22.5" customHeight="1">
      <c r="A638" s="478"/>
      <c r="O638" s="478"/>
      <c r="P638" s="478"/>
      <c r="Q638" s="478"/>
      <c r="R638" s="478"/>
      <c r="S638" s="478"/>
      <c r="T638" s="478"/>
      <c r="U638" s="478"/>
      <c r="V638" s="478"/>
      <c r="W638" s="478"/>
      <c r="X638" s="478"/>
      <c r="Y638" s="478"/>
      <c r="Z638" s="478"/>
    </row>
    <row r="639" spans="1:26" ht="22.5" customHeight="1">
      <c r="A639" s="478"/>
      <c r="O639" s="478"/>
      <c r="P639" s="478"/>
      <c r="Q639" s="478"/>
      <c r="R639" s="478"/>
      <c r="S639" s="478"/>
      <c r="T639" s="478"/>
      <c r="U639" s="478"/>
      <c r="V639" s="478"/>
      <c r="W639" s="478"/>
      <c r="X639" s="478"/>
      <c r="Y639" s="478"/>
      <c r="Z639" s="478"/>
    </row>
    <row r="640" spans="1:26" ht="22.5" customHeight="1">
      <c r="A640" s="478"/>
      <c r="O640" s="478"/>
      <c r="P640" s="478"/>
      <c r="Q640" s="478"/>
      <c r="R640" s="478"/>
      <c r="S640" s="478"/>
      <c r="T640" s="478"/>
      <c r="U640" s="478"/>
      <c r="V640" s="478"/>
      <c r="W640" s="478"/>
      <c r="X640" s="478"/>
      <c r="Y640" s="478"/>
      <c r="Z640" s="478"/>
    </row>
    <row r="641" spans="1:26" ht="22.5" customHeight="1">
      <c r="A641" s="478"/>
      <c r="O641" s="478"/>
      <c r="P641" s="478"/>
      <c r="Q641" s="478"/>
      <c r="R641" s="478"/>
      <c r="S641" s="478"/>
      <c r="T641" s="478"/>
      <c r="U641" s="478"/>
      <c r="V641" s="478"/>
      <c r="W641" s="478"/>
      <c r="X641" s="478"/>
      <c r="Y641" s="478"/>
      <c r="Z641" s="478"/>
    </row>
    <row r="642" spans="1:26" ht="22.5" customHeight="1">
      <c r="A642" s="478"/>
      <c r="O642" s="478"/>
      <c r="P642" s="478"/>
      <c r="Q642" s="478"/>
      <c r="R642" s="478"/>
      <c r="S642" s="478"/>
      <c r="T642" s="478"/>
      <c r="U642" s="478"/>
      <c r="V642" s="478"/>
      <c r="W642" s="478"/>
      <c r="X642" s="478"/>
      <c r="Y642" s="478"/>
      <c r="Z642" s="478"/>
    </row>
    <row r="643" spans="1:26" ht="22.5" customHeight="1">
      <c r="A643" s="478"/>
      <c r="O643" s="478"/>
      <c r="P643" s="478"/>
      <c r="Q643" s="478"/>
      <c r="R643" s="478"/>
      <c r="S643" s="478"/>
      <c r="T643" s="478"/>
      <c r="U643" s="478"/>
      <c r="V643" s="478"/>
      <c r="W643" s="478"/>
      <c r="X643" s="478"/>
      <c r="Y643" s="478"/>
      <c r="Z643" s="478"/>
    </row>
    <row r="644" spans="1:26" ht="22.5" customHeight="1">
      <c r="A644" s="478"/>
      <c r="O644" s="478"/>
      <c r="P644" s="478"/>
      <c r="Q644" s="478"/>
      <c r="R644" s="478"/>
      <c r="S644" s="478"/>
      <c r="T644" s="478"/>
      <c r="U644" s="478"/>
      <c r="V644" s="478"/>
      <c r="W644" s="478"/>
      <c r="X644" s="478"/>
      <c r="Y644" s="478"/>
      <c r="Z644" s="478"/>
    </row>
    <row r="645" spans="1:26" ht="22.5" customHeight="1">
      <c r="A645" s="478"/>
      <c r="O645" s="478"/>
      <c r="P645" s="478"/>
      <c r="Q645" s="478"/>
      <c r="R645" s="478"/>
      <c r="S645" s="478"/>
      <c r="T645" s="478"/>
      <c r="U645" s="478"/>
      <c r="V645" s="478"/>
      <c r="W645" s="478"/>
      <c r="X645" s="478"/>
      <c r="Y645" s="478"/>
      <c r="Z645" s="478"/>
    </row>
    <row r="646" spans="1:26" ht="22.5" customHeight="1">
      <c r="A646" s="478"/>
      <c r="O646" s="478"/>
      <c r="P646" s="478"/>
      <c r="Q646" s="478"/>
      <c r="R646" s="478"/>
      <c r="S646" s="478"/>
      <c r="T646" s="478"/>
      <c r="U646" s="478"/>
      <c r="V646" s="478"/>
      <c r="W646" s="478"/>
      <c r="X646" s="478"/>
      <c r="Y646" s="478"/>
      <c r="Z646" s="478"/>
    </row>
    <row r="647" spans="1:26" ht="22.5" customHeight="1">
      <c r="A647" s="478"/>
      <c r="O647" s="478"/>
      <c r="P647" s="478"/>
      <c r="Q647" s="478"/>
      <c r="R647" s="478"/>
      <c r="S647" s="478"/>
      <c r="T647" s="478"/>
      <c r="U647" s="478"/>
      <c r="V647" s="478"/>
      <c r="W647" s="478"/>
      <c r="X647" s="478"/>
      <c r="Y647" s="478"/>
      <c r="Z647" s="478"/>
    </row>
    <row r="648" spans="1:26" ht="22.5" customHeight="1">
      <c r="A648" s="478"/>
      <c r="O648" s="478"/>
      <c r="P648" s="478"/>
      <c r="Q648" s="478"/>
      <c r="R648" s="478"/>
      <c r="S648" s="478"/>
      <c r="T648" s="478"/>
      <c r="U648" s="478"/>
      <c r="V648" s="478"/>
      <c r="W648" s="478"/>
      <c r="X648" s="478"/>
      <c r="Y648" s="478"/>
      <c r="Z648" s="478"/>
    </row>
    <row r="649" spans="1:26" ht="22.5" customHeight="1">
      <c r="A649" s="478"/>
      <c r="O649" s="478"/>
      <c r="P649" s="478"/>
      <c r="Q649" s="478"/>
      <c r="R649" s="478"/>
      <c r="S649" s="478"/>
      <c r="T649" s="478"/>
      <c r="U649" s="478"/>
      <c r="V649" s="478"/>
      <c r="W649" s="478"/>
      <c r="X649" s="478"/>
      <c r="Y649" s="478"/>
      <c r="Z649" s="478"/>
    </row>
    <row r="650" spans="1:26" ht="22.5" customHeight="1">
      <c r="A650" s="478"/>
      <c r="O650" s="478"/>
      <c r="P650" s="478"/>
      <c r="Q650" s="478"/>
      <c r="R650" s="478"/>
      <c r="S650" s="478"/>
      <c r="T650" s="478"/>
      <c r="U650" s="478"/>
      <c r="V650" s="478"/>
      <c r="W650" s="478"/>
      <c r="X650" s="478"/>
      <c r="Y650" s="478"/>
      <c r="Z650" s="478"/>
    </row>
    <row r="651" spans="1:26" ht="22.5" customHeight="1">
      <c r="A651" s="478"/>
      <c r="O651" s="478"/>
      <c r="P651" s="478"/>
      <c r="Q651" s="478"/>
      <c r="R651" s="478"/>
      <c r="S651" s="478"/>
      <c r="T651" s="478"/>
      <c r="U651" s="478"/>
      <c r="V651" s="478"/>
      <c r="W651" s="478"/>
      <c r="X651" s="478"/>
      <c r="Y651" s="478"/>
      <c r="Z651" s="478"/>
    </row>
    <row r="652" spans="1:26" ht="22.5" customHeight="1">
      <c r="A652" s="478"/>
      <c r="O652" s="478"/>
      <c r="P652" s="478"/>
      <c r="Q652" s="478"/>
      <c r="R652" s="478"/>
      <c r="S652" s="478"/>
      <c r="T652" s="478"/>
      <c r="U652" s="478"/>
      <c r="V652" s="478"/>
      <c r="W652" s="478"/>
      <c r="X652" s="478"/>
      <c r="Y652" s="478"/>
      <c r="Z652" s="478"/>
    </row>
    <row r="653" spans="1:26" ht="22.5" customHeight="1">
      <c r="A653" s="478"/>
      <c r="O653" s="478"/>
      <c r="P653" s="478"/>
      <c r="Q653" s="478"/>
      <c r="R653" s="478"/>
      <c r="S653" s="478"/>
      <c r="T653" s="478"/>
      <c r="U653" s="478"/>
      <c r="V653" s="478"/>
      <c r="W653" s="478"/>
      <c r="X653" s="478"/>
      <c r="Y653" s="478"/>
      <c r="Z653" s="478"/>
    </row>
    <row r="654" spans="1:26" ht="22.5" customHeight="1">
      <c r="A654" s="478"/>
      <c r="O654" s="478"/>
      <c r="P654" s="478"/>
      <c r="Q654" s="478"/>
      <c r="R654" s="478"/>
      <c r="S654" s="478"/>
      <c r="T654" s="478"/>
      <c r="U654" s="478"/>
      <c r="V654" s="478"/>
      <c r="W654" s="478"/>
      <c r="X654" s="478"/>
      <c r="Y654" s="478"/>
      <c r="Z654" s="478"/>
    </row>
    <row r="655" spans="1:26" ht="22.5" customHeight="1">
      <c r="A655" s="478"/>
      <c r="O655" s="478"/>
      <c r="P655" s="478"/>
      <c r="Q655" s="478"/>
      <c r="R655" s="478"/>
      <c r="S655" s="478"/>
      <c r="T655" s="478"/>
      <c r="U655" s="478"/>
      <c r="V655" s="478"/>
      <c r="W655" s="478"/>
      <c r="X655" s="478"/>
      <c r="Y655" s="478"/>
      <c r="Z655" s="478"/>
    </row>
    <row r="656" spans="1:26" ht="22.5" customHeight="1">
      <c r="A656" s="478"/>
      <c r="O656" s="478"/>
      <c r="P656" s="478"/>
      <c r="Q656" s="478"/>
      <c r="R656" s="478"/>
      <c r="S656" s="478"/>
      <c r="T656" s="478"/>
      <c r="U656" s="478"/>
      <c r="V656" s="478"/>
      <c r="W656" s="478"/>
      <c r="X656" s="478"/>
      <c r="Y656" s="478"/>
      <c r="Z656" s="478"/>
    </row>
    <row r="657" spans="1:26" ht="22.5" customHeight="1">
      <c r="A657" s="478"/>
      <c r="O657" s="478"/>
      <c r="P657" s="478"/>
      <c r="Q657" s="478"/>
      <c r="R657" s="478"/>
      <c r="S657" s="478"/>
      <c r="T657" s="478"/>
      <c r="U657" s="478"/>
      <c r="V657" s="478"/>
      <c r="W657" s="478"/>
      <c r="X657" s="478"/>
      <c r="Y657" s="478"/>
      <c r="Z657" s="478"/>
    </row>
    <row r="658" spans="1:26" ht="22.5" customHeight="1">
      <c r="A658" s="478"/>
      <c r="O658" s="478"/>
      <c r="P658" s="478"/>
      <c r="Q658" s="478"/>
      <c r="R658" s="478"/>
      <c r="S658" s="478"/>
      <c r="T658" s="478"/>
      <c r="U658" s="478"/>
      <c r="V658" s="478"/>
      <c r="W658" s="478"/>
      <c r="X658" s="478"/>
      <c r="Y658" s="478"/>
      <c r="Z658" s="478"/>
    </row>
    <row r="659" spans="1:26" ht="22.5" customHeight="1">
      <c r="A659" s="478"/>
      <c r="O659" s="478"/>
      <c r="P659" s="478"/>
      <c r="Q659" s="478"/>
      <c r="R659" s="478"/>
      <c r="S659" s="478"/>
      <c r="T659" s="478"/>
      <c r="U659" s="478"/>
      <c r="V659" s="478"/>
      <c r="W659" s="478"/>
      <c r="X659" s="478"/>
      <c r="Y659" s="478"/>
      <c r="Z659" s="478"/>
    </row>
    <row r="660" spans="1:26" ht="22.5" customHeight="1">
      <c r="A660" s="478"/>
      <c r="O660" s="478"/>
      <c r="P660" s="478"/>
      <c r="Q660" s="478"/>
      <c r="R660" s="478"/>
      <c r="S660" s="478"/>
      <c r="T660" s="478"/>
      <c r="U660" s="478"/>
      <c r="V660" s="478"/>
      <c r="W660" s="478"/>
      <c r="X660" s="478"/>
      <c r="Y660" s="478"/>
      <c r="Z660" s="478"/>
    </row>
    <row r="661" spans="1:26" ht="22.5" customHeight="1">
      <c r="A661" s="478"/>
      <c r="O661" s="478"/>
      <c r="P661" s="478"/>
      <c r="Q661" s="478"/>
      <c r="R661" s="478"/>
      <c r="S661" s="478"/>
      <c r="T661" s="478"/>
      <c r="U661" s="478"/>
      <c r="V661" s="478"/>
      <c r="W661" s="478"/>
      <c r="X661" s="478"/>
      <c r="Y661" s="478"/>
      <c r="Z661" s="478"/>
    </row>
    <row r="662" spans="1:26" ht="22.5" customHeight="1">
      <c r="A662" s="478"/>
      <c r="O662" s="478"/>
      <c r="P662" s="478"/>
      <c r="Q662" s="478"/>
      <c r="R662" s="478"/>
      <c r="S662" s="478"/>
      <c r="T662" s="478"/>
      <c r="U662" s="478"/>
      <c r="V662" s="478"/>
      <c r="W662" s="478"/>
      <c r="X662" s="478"/>
      <c r="Y662" s="478"/>
      <c r="Z662" s="478"/>
    </row>
    <row r="663" spans="1:26" ht="22.5" customHeight="1">
      <c r="A663" s="478"/>
      <c r="O663" s="478"/>
      <c r="P663" s="478"/>
      <c r="Q663" s="478"/>
      <c r="R663" s="478"/>
      <c r="S663" s="478"/>
      <c r="T663" s="478"/>
      <c r="U663" s="478"/>
      <c r="V663" s="478"/>
      <c r="W663" s="478"/>
      <c r="X663" s="478"/>
      <c r="Y663" s="478"/>
      <c r="Z663" s="478"/>
    </row>
    <row r="664" spans="1:26" ht="22.5" customHeight="1">
      <c r="A664" s="478"/>
      <c r="O664" s="478"/>
      <c r="P664" s="478"/>
      <c r="Q664" s="478"/>
      <c r="R664" s="478"/>
      <c r="S664" s="478"/>
      <c r="T664" s="478"/>
      <c r="U664" s="478"/>
      <c r="V664" s="478"/>
      <c r="W664" s="478"/>
      <c r="X664" s="478"/>
      <c r="Y664" s="478"/>
      <c r="Z664" s="478"/>
    </row>
    <row r="665" spans="1:26" ht="22.5" customHeight="1">
      <c r="A665" s="478"/>
      <c r="O665" s="478"/>
      <c r="P665" s="478"/>
      <c r="Q665" s="478"/>
      <c r="R665" s="478"/>
      <c r="S665" s="478"/>
      <c r="T665" s="478"/>
      <c r="U665" s="478"/>
      <c r="V665" s="478"/>
      <c r="W665" s="478"/>
      <c r="X665" s="478"/>
      <c r="Y665" s="478"/>
      <c r="Z665" s="478"/>
    </row>
    <row r="666" spans="1:26" ht="22.5" customHeight="1">
      <c r="A666" s="478"/>
      <c r="O666" s="478"/>
      <c r="P666" s="478"/>
      <c r="Q666" s="478"/>
      <c r="R666" s="478"/>
      <c r="S666" s="478"/>
      <c r="T666" s="478"/>
      <c r="U666" s="478"/>
      <c r="V666" s="478"/>
      <c r="W666" s="478"/>
      <c r="X666" s="478"/>
      <c r="Y666" s="478"/>
      <c r="Z666" s="478"/>
    </row>
    <row r="667" spans="1:26" ht="22.5" customHeight="1">
      <c r="A667" s="478"/>
      <c r="O667" s="478"/>
      <c r="P667" s="478"/>
      <c r="Q667" s="478"/>
      <c r="R667" s="478"/>
      <c r="S667" s="478"/>
      <c r="T667" s="478"/>
      <c r="U667" s="478"/>
      <c r="V667" s="478"/>
      <c r="W667" s="478"/>
      <c r="X667" s="478"/>
      <c r="Y667" s="478"/>
      <c r="Z667" s="478"/>
    </row>
    <row r="668" spans="1:26" ht="22.5" customHeight="1">
      <c r="A668" s="478"/>
      <c r="O668" s="478"/>
      <c r="P668" s="478"/>
      <c r="Q668" s="478"/>
      <c r="R668" s="478"/>
      <c r="S668" s="478"/>
      <c r="T668" s="478"/>
      <c r="U668" s="478"/>
      <c r="V668" s="478"/>
      <c r="W668" s="478"/>
      <c r="X668" s="478"/>
      <c r="Y668" s="478"/>
      <c r="Z668" s="478"/>
    </row>
    <row r="669" spans="1:26" ht="22.5" customHeight="1">
      <c r="A669" s="478"/>
      <c r="O669" s="478"/>
      <c r="P669" s="478"/>
      <c r="Q669" s="478"/>
      <c r="R669" s="478"/>
      <c r="S669" s="478"/>
      <c r="T669" s="478"/>
      <c r="U669" s="478"/>
      <c r="V669" s="478"/>
      <c r="W669" s="478"/>
      <c r="X669" s="478"/>
      <c r="Y669" s="478"/>
      <c r="Z669" s="478"/>
    </row>
    <row r="670" spans="1:26" ht="22.5" customHeight="1">
      <c r="A670" s="478"/>
      <c r="O670" s="478"/>
      <c r="P670" s="478"/>
      <c r="Q670" s="478"/>
      <c r="R670" s="478"/>
      <c r="S670" s="478"/>
      <c r="T670" s="478"/>
      <c r="U670" s="478"/>
      <c r="V670" s="478"/>
      <c r="W670" s="478"/>
      <c r="X670" s="478"/>
      <c r="Y670" s="478"/>
      <c r="Z670" s="478"/>
    </row>
    <row r="671" spans="1:26" ht="22.5" customHeight="1">
      <c r="A671" s="478"/>
      <c r="O671" s="478"/>
      <c r="P671" s="478"/>
      <c r="Q671" s="478"/>
      <c r="R671" s="478"/>
      <c r="S671" s="478"/>
      <c r="T671" s="478"/>
      <c r="U671" s="478"/>
      <c r="V671" s="478"/>
      <c r="W671" s="478"/>
      <c r="X671" s="478"/>
      <c r="Y671" s="478"/>
      <c r="Z671" s="478"/>
    </row>
    <row r="672" spans="1:26" ht="22.5" customHeight="1">
      <c r="A672" s="478"/>
      <c r="O672" s="478"/>
      <c r="P672" s="478"/>
      <c r="Q672" s="478"/>
      <c r="R672" s="478"/>
      <c r="S672" s="478"/>
      <c r="T672" s="478"/>
      <c r="U672" s="478"/>
      <c r="V672" s="478"/>
      <c r="W672" s="478"/>
      <c r="X672" s="478"/>
      <c r="Y672" s="478"/>
      <c r="Z672" s="478"/>
    </row>
    <row r="673" spans="1:26" ht="22.5" customHeight="1">
      <c r="A673" s="478"/>
      <c r="O673" s="478"/>
      <c r="P673" s="478"/>
      <c r="Q673" s="478"/>
      <c r="R673" s="478"/>
      <c r="S673" s="478"/>
      <c r="T673" s="478"/>
      <c r="U673" s="478"/>
      <c r="V673" s="478"/>
      <c r="W673" s="478"/>
      <c r="X673" s="478"/>
      <c r="Y673" s="478"/>
      <c r="Z673" s="478"/>
    </row>
    <row r="674" spans="1:26" ht="22.5" customHeight="1">
      <c r="A674" s="478"/>
      <c r="O674" s="478"/>
      <c r="P674" s="478"/>
      <c r="Q674" s="478"/>
      <c r="R674" s="478"/>
      <c r="S674" s="478"/>
      <c r="T674" s="478"/>
      <c r="U674" s="478"/>
      <c r="V674" s="478"/>
      <c r="W674" s="478"/>
      <c r="X674" s="478"/>
      <c r="Y674" s="478"/>
      <c r="Z674" s="478"/>
    </row>
    <row r="675" spans="1:26" ht="22.5" customHeight="1">
      <c r="A675" s="478"/>
      <c r="O675" s="478"/>
      <c r="P675" s="478"/>
      <c r="Q675" s="478"/>
      <c r="R675" s="478"/>
      <c r="S675" s="478"/>
      <c r="T675" s="478"/>
      <c r="U675" s="478"/>
      <c r="V675" s="478"/>
      <c r="W675" s="478"/>
      <c r="X675" s="478"/>
      <c r="Y675" s="478"/>
      <c r="Z675" s="478"/>
    </row>
    <row r="676" spans="1:26" ht="22.5" customHeight="1">
      <c r="A676" s="478"/>
      <c r="O676" s="478"/>
      <c r="P676" s="478"/>
      <c r="Q676" s="478"/>
      <c r="R676" s="478"/>
      <c r="S676" s="478"/>
      <c r="T676" s="478"/>
      <c r="U676" s="478"/>
      <c r="V676" s="478"/>
      <c r="W676" s="478"/>
      <c r="X676" s="478"/>
      <c r="Y676" s="478"/>
      <c r="Z676" s="478"/>
    </row>
    <row r="677" spans="1:26" ht="22.5" customHeight="1">
      <c r="A677" s="478"/>
      <c r="O677" s="478"/>
      <c r="P677" s="478"/>
      <c r="Q677" s="478"/>
      <c r="R677" s="478"/>
      <c r="S677" s="478"/>
      <c r="T677" s="478"/>
      <c r="U677" s="478"/>
      <c r="V677" s="478"/>
      <c r="W677" s="478"/>
      <c r="X677" s="478"/>
      <c r="Y677" s="478"/>
      <c r="Z677" s="478"/>
    </row>
    <row r="678" spans="1:26" ht="22.5" customHeight="1">
      <c r="A678" s="478"/>
      <c r="O678" s="478"/>
      <c r="P678" s="478"/>
      <c r="Q678" s="478"/>
      <c r="R678" s="478"/>
      <c r="S678" s="478"/>
      <c r="T678" s="478"/>
      <c r="U678" s="478"/>
      <c r="V678" s="478"/>
      <c r="W678" s="478"/>
      <c r="X678" s="478"/>
      <c r="Y678" s="478"/>
      <c r="Z678" s="478"/>
    </row>
    <row r="679" spans="1:26" ht="22.5" customHeight="1">
      <c r="A679" s="478"/>
      <c r="O679" s="478"/>
      <c r="P679" s="478"/>
      <c r="Q679" s="478"/>
      <c r="R679" s="478"/>
      <c r="S679" s="478"/>
      <c r="T679" s="478"/>
      <c r="U679" s="478"/>
      <c r="V679" s="478"/>
      <c r="W679" s="478"/>
      <c r="X679" s="478"/>
      <c r="Y679" s="478"/>
      <c r="Z679" s="478"/>
    </row>
    <row r="680" spans="1:26" ht="22.5" customHeight="1">
      <c r="A680" s="478"/>
      <c r="O680" s="478"/>
      <c r="P680" s="478"/>
      <c r="Q680" s="478"/>
      <c r="R680" s="478"/>
      <c r="S680" s="478"/>
      <c r="T680" s="478"/>
      <c r="U680" s="478"/>
      <c r="V680" s="478"/>
      <c r="W680" s="478"/>
      <c r="X680" s="478"/>
      <c r="Y680" s="478"/>
      <c r="Z680" s="478"/>
    </row>
    <row r="681" spans="1:26" ht="22.5" customHeight="1">
      <c r="A681" s="478"/>
      <c r="O681" s="478"/>
      <c r="P681" s="478"/>
      <c r="Q681" s="478"/>
      <c r="R681" s="478"/>
      <c r="S681" s="478"/>
      <c r="T681" s="478"/>
      <c r="U681" s="478"/>
      <c r="V681" s="478"/>
      <c r="W681" s="478"/>
      <c r="X681" s="478"/>
      <c r="Y681" s="478"/>
      <c r="Z681" s="478"/>
    </row>
    <row r="682" spans="1:26" ht="22.5" customHeight="1">
      <c r="A682" s="478"/>
      <c r="O682" s="478"/>
      <c r="P682" s="478"/>
      <c r="Q682" s="478"/>
      <c r="R682" s="478"/>
      <c r="S682" s="478"/>
      <c r="T682" s="478"/>
      <c r="U682" s="478"/>
      <c r="V682" s="478"/>
      <c r="W682" s="478"/>
      <c r="X682" s="478"/>
      <c r="Y682" s="478"/>
      <c r="Z682" s="478"/>
    </row>
    <row r="683" spans="1:26" ht="22.5" customHeight="1">
      <c r="A683" s="478"/>
      <c r="O683" s="478"/>
      <c r="P683" s="478"/>
      <c r="Q683" s="478"/>
      <c r="R683" s="478"/>
      <c r="S683" s="478"/>
      <c r="T683" s="478"/>
      <c r="U683" s="478"/>
      <c r="V683" s="478"/>
      <c r="W683" s="478"/>
      <c r="X683" s="478"/>
      <c r="Y683" s="478"/>
      <c r="Z683" s="478"/>
    </row>
    <row r="684" spans="1:26" ht="22.5" customHeight="1">
      <c r="A684" s="478"/>
      <c r="O684" s="478"/>
      <c r="P684" s="478"/>
      <c r="Q684" s="478"/>
      <c r="R684" s="478"/>
      <c r="S684" s="478"/>
      <c r="T684" s="478"/>
      <c r="U684" s="478"/>
      <c r="V684" s="478"/>
      <c r="W684" s="478"/>
      <c r="X684" s="478"/>
      <c r="Y684" s="478"/>
      <c r="Z684" s="478"/>
    </row>
    <row r="685" spans="1:26" ht="22.5" customHeight="1">
      <c r="A685" s="478"/>
      <c r="O685" s="478"/>
      <c r="P685" s="478"/>
      <c r="Q685" s="478"/>
      <c r="R685" s="478"/>
      <c r="S685" s="478"/>
      <c r="T685" s="478"/>
      <c r="U685" s="478"/>
      <c r="V685" s="478"/>
      <c r="W685" s="478"/>
      <c r="X685" s="478"/>
      <c r="Y685" s="478"/>
      <c r="Z685" s="478"/>
    </row>
    <row r="686" spans="1:26" ht="22.5" customHeight="1">
      <c r="A686" s="478"/>
      <c r="O686" s="478"/>
      <c r="P686" s="478"/>
      <c r="Q686" s="478"/>
      <c r="R686" s="478"/>
      <c r="S686" s="478"/>
      <c r="T686" s="478"/>
      <c r="U686" s="478"/>
      <c r="V686" s="478"/>
      <c r="W686" s="478"/>
      <c r="X686" s="478"/>
      <c r="Y686" s="478"/>
      <c r="Z686" s="478"/>
    </row>
    <row r="687" spans="1:26" ht="22.5" customHeight="1">
      <c r="A687" s="478"/>
      <c r="O687" s="478"/>
      <c r="P687" s="478"/>
      <c r="Q687" s="478"/>
      <c r="R687" s="478"/>
      <c r="S687" s="478"/>
      <c r="T687" s="478"/>
      <c r="U687" s="478"/>
      <c r="V687" s="478"/>
      <c r="W687" s="478"/>
      <c r="X687" s="478"/>
      <c r="Y687" s="478"/>
      <c r="Z687" s="478"/>
    </row>
    <row r="688" spans="1:26" ht="22.5" customHeight="1">
      <c r="A688" s="478"/>
      <c r="O688" s="478"/>
      <c r="P688" s="478"/>
      <c r="Q688" s="478"/>
      <c r="R688" s="478"/>
      <c r="S688" s="478"/>
      <c r="T688" s="478"/>
      <c r="U688" s="478"/>
      <c r="V688" s="478"/>
      <c r="W688" s="478"/>
      <c r="X688" s="478"/>
      <c r="Y688" s="478"/>
      <c r="Z688" s="478"/>
    </row>
    <row r="689" spans="1:26" ht="22.5" customHeight="1">
      <c r="A689" s="478"/>
      <c r="O689" s="478"/>
      <c r="P689" s="478"/>
      <c r="Q689" s="478"/>
      <c r="R689" s="478"/>
      <c r="S689" s="478"/>
      <c r="T689" s="478"/>
      <c r="U689" s="478"/>
      <c r="V689" s="478"/>
      <c r="W689" s="478"/>
      <c r="X689" s="478"/>
      <c r="Y689" s="478"/>
      <c r="Z689" s="478"/>
    </row>
    <row r="690" spans="1:26" ht="22.5" customHeight="1">
      <c r="A690" s="478"/>
      <c r="O690" s="478"/>
      <c r="P690" s="478"/>
      <c r="Q690" s="478"/>
      <c r="R690" s="478"/>
      <c r="S690" s="478"/>
      <c r="T690" s="478"/>
      <c r="U690" s="478"/>
      <c r="V690" s="478"/>
      <c r="W690" s="478"/>
      <c r="X690" s="478"/>
      <c r="Y690" s="478"/>
      <c r="Z690" s="478"/>
    </row>
    <row r="691" spans="1:26" ht="22.5" customHeight="1">
      <c r="A691" s="478"/>
      <c r="O691" s="478"/>
      <c r="P691" s="478"/>
      <c r="Q691" s="478"/>
      <c r="R691" s="478"/>
      <c r="S691" s="478"/>
      <c r="T691" s="478"/>
      <c r="U691" s="478"/>
      <c r="V691" s="478"/>
      <c r="W691" s="478"/>
      <c r="X691" s="478"/>
      <c r="Y691" s="478"/>
      <c r="Z691" s="478"/>
    </row>
    <row r="692" spans="1:26" ht="22.5" customHeight="1">
      <c r="A692" s="478"/>
      <c r="O692" s="478"/>
      <c r="P692" s="478"/>
      <c r="Q692" s="478"/>
      <c r="R692" s="478"/>
      <c r="S692" s="478"/>
      <c r="T692" s="478"/>
      <c r="U692" s="478"/>
      <c r="V692" s="478"/>
      <c r="W692" s="478"/>
      <c r="X692" s="478"/>
      <c r="Y692" s="478"/>
      <c r="Z692" s="478"/>
    </row>
    <row r="693" spans="1:26" ht="22.5" customHeight="1">
      <c r="A693" s="478"/>
      <c r="O693" s="478"/>
      <c r="P693" s="478"/>
      <c r="Q693" s="478"/>
      <c r="R693" s="478"/>
      <c r="S693" s="478"/>
      <c r="T693" s="478"/>
      <c r="U693" s="478"/>
      <c r="V693" s="478"/>
      <c r="W693" s="478"/>
      <c r="X693" s="478"/>
      <c r="Y693" s="478"/>
      <c r="Z693" s="478"/>
    </row>
    <row r="694" spans="1:26" ht="22.5" customHeight="1">
      <c r="A694" s="478"/>
      <c r="O694" s="478"/>
      <c r="P694" s="478"/>
      <c r="Q694" s="478"/>
      <c r="R694" s="478"/>
      <c r="S694" s="478"/>
      <c r="T694" s="478"/>
      <c r="U694" s="478"/>
      <c r="V694" s="478"/>
      <c r="W694" s="478"/>
      <c r="X694" s="478"/>
      <c r="Y694" s="478"/>
      <c r="Z694" s="478"/>
    </row>
    <row r="695" spans="1:26" ht="22.5" customHeight="1">
      <c r="A695" s="478"/>
      <c r="O695" s="478"/>
      <c r="P695" s="478"/>
      <c r="Q695" s="478"/>
      <c r="R695" s="478"/>
      <c r="S695" s="478"/>
      <c r="T695" s="478"/>
      <c r="U695" s="478"/>
      <c r="V695" s="478"/>
      <c r="W695" s="478"/>
      <c r="X695" s="478"/>
      <c r="Y695" s="478"/>
      <c r="Z695" s="478"/>
    </row>
    <row r="696" spans="1:26" ht="22.5" customHeight="1">
      <c r="A696" s="478"/>
      <c r="O696" s="478"/>
      <c r="P696" s="478"/>
      <c r="Q696" s="478"/>
      <c r="R696" s="478"/>
      <c r="S696" s="478"/>
      <c r="T696" s="478"/>
      <c r="U696" s="478"/>
      <c r="V696" s="478"/>
      <c r="W696" s="478"/>
      <c r="X696" s="478"/>
      <c r="Y696" s="478"/>
      <c r="Z696" s="478"/>
    </row>
    <row r="697" spans="1:26" ht="22.5" customHeight="1">
      <c r="A697" s="478"/>
      <c r="O697" s="478"/>
      <c r="P697" s="478"/>
      <c r="Q697" s="478"/>
      <c r="R697" s="478"/>
      <c r="S697" s="478"/>
      <c r="T697" s="478"/>
      <c r="U697" s="478"/>
      <c r="V697" s="478"/>
      <c r="W697" s="478"/>
      <c r="X697" s="478"/>
      <c r="Y697" s="478"/>
      <c r="Z697" s="478"/>
    </row>
    <row r="698" spans="1:26" ht="22.5" customHeight="1">
      <c r="A698" s="478"/>
      <c r="O698" s="478"/>
      <c r="P698" s="478"/>
      <c r="Q698" s="478"/>
      <c r="R698" s="478"/>
      <c r="S698" s="478"/>
      <c r="T698" s="478"/>
      <c r="U698" s="478"/>
      <c r="V698" s="478"/>
      <c r="W698" s="478"/>
      <c r="X698" s="478"/>
      <c r="Y698" s="478"/>
      <c r="Z698" s="478"/>
    </row>
    <row r="699" spans="1:26" ht="22.5" customHeight="1">
      <c r="A699" s="478"/>
      <c r="O699" s="478"/>
      <c r="P699" s="478"/>
      <c r="Q699" s="478"/>
      <c r="R699" s="478"/>
      <c r="S699" s="478"/>
      <c r="T699" s="478"/>
      <c r="U699" s="478"/>
      <c r="V699" s="478"/>
      <c r="W699" s="478"/>
      <c r="X699" s="478"/>
      <c r="Y699" s="478"/>
      <c r="Z699" s="478"/>
    </row>
    <row r="700" spans="1:26" ht="22.5" customHeight="1">
      <c r="A700" s="478"/>
      <c r="O700" s="478"/>
      <c r="P700" s="478"/>
      <c r="Q700" s="478"/>
      <c r="R700" s="478"/>
      <c r="S700" s="478"/>
      <c r="T700" s="478"/>
      <c r="U700" s="478"/>
      <c r="V700" s="478"/>
      <c r="W700" s="478"/>
      <c r="X700" s="478"/>
      <c r="Y700" s="478"/>
      <c r="Z700" s="478"/>
    </row>
    <row r="701" spans="1:26" ht="22.5" customHeight="1">
      <c r="A701" s="478"/>
      <c r="O701" s="478"/>
      <c r="P701" s="478"/>
      <c r="Q701" s="478"/>
      <c r="R701" s="478"/>
      <c r="S701" s="478"/>
      <c r="T701" s="478"/>
      <c r="U701" s="478"/>
      <c r="V701" s="478"/>
      <c r="W701" s="478"/>
      <c r="X701" s="478"/>
      <c r="Y701" s="478"/>
      <c r="Z701" s="478"/>
    </row>
    <row r="702" spans="1:26" ht="22.5" customHeight="1">
      <c r="A702" s="478"/>
      <c r="O702" s="478"/>
      <c r="P702" s="478"/>
      <c r="Q702" s="478"/>
      <c r="R702" s="478"/>
      <c r="S702" s="478"/>
      <c r="T702" s="478"/>
      <c r="U702" s="478"/>
      <c r="V702" s="478"/>
      <c r="W702" s="478"/>
      <c r="X702" s="478"/>
      <c r="Y702" s="478"/>
      <c r="Z702" s="478"/>
    </row>
    <row r="703" spans="1:26" ht="22.5" customHeight="1">
      <c r="A703" s="478"/>
      <c r="O703" s="478"/>
      <c r="P703" s="478"/>
      <c r="Q703" s="478"/>
      <c r="R703" s="478"/>
      <c r="S703" s="478"/>
      <c r="T703" s="478"/>
      <c r="U703" s="478"/>
      <c r="V703" s="478"/>
      <c r="W703" s="478"/>
      <c r="X703" s="478"/>
      <c r="Y703" s="478"/>
      <c r="Z703" s="478"/>
    </row>
    <row r="704" spans="1:26" ht="22.5" customHeight="1">
      <c r="A704" s="478"/>
      <c r="O704" s="478"/>
      <c r="P704" s="478"/>
      <c r="Q704" s="478"/>
      <c r="R704" s="478"/>
      <c r="S704" s="478"/>
      <c r="T704" s="478"/>
      <c r="U704" s="478"/>
      <c r="V704" s="478"/>
      <c r="W704" s="478"/>
      <c r="X704" s="478"/>
      <c r="Y704" s="478"/>
      <c r="Z704" s="478"/>
    </row>
    <row r="705" spans="1:26" ht="22.5" customHeight="1">
      <c r="A705" s="478"/>
      <c r="O705" s="478"/>
      <c r="P705" s="478"/>
      <c r="Q705" s="478"/>
      <c r="R705" s="478"/>
      <c r="S705" s="478"/>
      <c r="T705" s="478"/>
      <c r="U705" s="478"/>
      <c r="V705" s="478"/>
      <c r="W705" s="478"/>
      <c r="X705" s="478"/>
      <c r="Y705" s="478"/>
      <c r="Z705" s="478"/>
    </row>
    <row r="706" spans="1:26" ht="22.5" customHeight="1">
      <c r="A706" s="478"/>
      <c r="O706" s="478"/>
      <c r="P706" s="478"/>
      <c r="Q706" s="478"/>
      <c r="R706" s="478"/>
      <c r="S706" s="478"/>
      <c r="T706" s="478"/>
      <c r="U706" s="478"/>
      <c r="V706" s="478"/>
      <c r="W706" s="478"/>
      <c r="X706" s="478"/>
      <c r="Y706" s="478"/>
      <c r="Z706" s="478"/>
    </row>
    <row r="707" spans="1:26" ht="22.5" customHeight="1">
      <c r="A707" s="478"/>
      <c r="O707" s="478"/>
      <c r="P707" s="478"/>
      <c r="Q707" s="478"/>
      <c r="R707" s="478"/>
      <c r="S707" s="478"/>
      <c r="T707" s="478"/>
      <c r="U707" s="478"/>
      <c r="V707" s="478"/>
      <c r="W707" s="478"/>
      <c r="X707" s="478"/>
      <c r="Y707" s="478"/>
      <c r="Z707" s="478"/>
    </row>
    <row r="708" spans="1:26" ht="22.5" customHeight="1">
      <c r="A708" s="478"/>
      <c r="O708" s="478"/>
      <c r="P708" s="478"/>
      <c r="Q708" s="478"/>
      <c r="R708" s="478"/>
      <c r="S708" s="478"/>
      <c r="T708" s="478"/>
      <c r="U708" s="478"/>
      <c r="V708" s="478"/>
      <c r="W708" s="478"/>
      <c r="X708" s="478"/>
      <c r="Y708" s="478"/>
      <c r="Z708" s="478"/>
    </row>
    <row r="709" spans="1:26" ht="22.5" customHeight="1">
      <c r="A709" s="478"/>
      <c r="O709" s="478"/>
      <c r="P709" s="478"/>
      <c r="Q709" s="478"/>
      <c r="R709" s="478"/>
      <c r="S709" s="478"/>
      <c r="T709" s="478"/>
      <c r="U709" s="478"/>
      <c r="V709" s="478"/>
      <c r="W709" s="478"/>
      <c r="X709" s="478"/>
      <c r="Y709" s="478"/>
      <c r="Z709" s="478"/>
    </row>
    <row r="710" spans="1:26" ht="22.5" customHeight="1">
      <c r="A710" s="478"/>
      <c r="O710" s="478"/>
      <c r="P710" s="478"/>
      <c r="Q710" s="478"/>
      <c r="R710" s="478"/>
      <c r="S710" s="478"/>
      <c r="T710" s="478"/>
      <c r="U710" s="478"/>
      <c r="V710" s="478"/>
      <c r="W710" s="478"/>
      <c r="X710" s="478"/>
      <c r="Y710" s="478"/>
      <c r="Z710" s="478"/>
    </row>
    <row r="711" spans="1:26" ht="22.5" customHeight="1">
      <c r="A711" s="478"/>
      <c r="O711" s="478"/>
      <c r="P711" s="478"/>
      <c r="Q711" s="478"/>
      <c r="R711" s="478"/>
      <c r="S711" s="478"/>
      <c r="T711" s="478"/>
      <c r="U711" s="478"/>
      <c r="V711" s="478"/>
      <c r="W711" s="478"/>
      <c r="X711" s="478"/>
      <c r="Y711" s="478"/>
      <c r="Z711" s="478"/>
    </row>
    <row r="712" spans="1:26" ht="22.5" customHeight="1">
      <c r="A712" s="478"/>
      <c r="O712" s="478"/>
      <c r="P712" s="478"/>
      <c r="Q712" s="478"/>
      <c r="R712" s="478"/>
      <c r="S712" s="478"/>
      <c r="T712" s="478"/>
      <c r="U712" s="478"/>
      <c r="V712" s="478"/>
      <c r="W712" s="478"/>
      <c r="X712" s="478"/>
      <c r="Y712" s="478"/>
      <c r="Z712" s="478"/>
    </row>
    <row r="713" spans="1:26" ht="22.5" customHeight="1">
      <c r="A713" s="478"/>
      <c r="O713" s="478"/>
      <c r="P713" s="478"/>
      <c r="Q713" s="478"/>
      <c r="R713" s="478"/>
      <c r="S713" s="478"/>
      <c r="T713" s="478"/>
      <c r="U713" s="478"/>
      <c r="V713" s="478"/>
      <c r="W713" s="478"/>
      <c r="X713" s="478"/>
      <c r="Y713" s="478"/>
      <c r="Z713" s="478"/>
    </row>
    <row r="714" spans="1:26" ht="22.5" customHeight="1">
      <c r="A714" s="478"/>
      <c r="O714" s="478"/>
      <c r="P714" s="478"/>
      <c r="Q714" s="478"/>
      <c r="R714" s="478"/>
      <c r="S714" s="478"/>
      <c r="T714" s="478"/>
      <c r="U714" s="478"/>
      <c r="V714" s="478"/>
      <c r="W714" s="478"/>
      <c r="X714" s="478"/>
      <c r="Y714" s="478"/>
      <c r="Z714" s="478"/>
    </row>
    <row r="715" spans="1:26" ht="22.5" customHeight="1">
      <c r="A715" s="478"/>
      <c r="O715" s="478"/>
      <c r="P715" s="478"/>
      <c r="Q715" s="478"/>
      <c r="R715" s="478"/>
      <c r="S715" s="478"/>
      <c r="T715" s="478"/>
      <c r="U715" s="478"/>
      <c r="V715" s="478"/>
      <c r="W715" s="478"/>
      <c r="X715" s="478"/>
      <c r="Y715" s="478"/>
      <c r="Z715" s="478"/>
    </row>
    <row r="716" spans="1:26" ht="22.5" customHeight="1">
      <c r="A716" s="478"/>
      <c r="O716" s="478"/>
      <c r="P716" s="478"/>
      <c r="Q716" s="478"/>
      <c r="R716" s="478"/>
      <c r="S716" s="478"/>
      <c r="T716" s="478"/>
      <c r="U716" s="478"/>
      <c r="V716" s="478"/>
      <c r="W716" s="478"/>
      <c r="X716" s="478"/>
      <c r="Y716" s="478"/>
      <c r="Z716" s="478"/>
    </row>
    <row r="717" spans="1:26" ht="22.5" customHeight="1">
      <c r="A717" s="478"/>
      <c r="O717" s="478"/>
      <c r="P717" s="478"/>
      <c r="Q717" s="478"/>
      <c r="R717" s="478"/>
      <c r="S717" s="478"/>
      <c r="T717" s="478"/>
      <c r="U717" s="478"/>
      <c r="V717" s="478"/>
      <c r="W717" s="478"/>
      <c r="X717" s="478"/>
      <c r="Y717" s="478"/>
      <c r="Z717" s="478"/>
    </row>
    <row r="718" spans="1:26" ht="22.5" customHeight="1">
      <c r="A718" s="478"/>
      <c r="O718" s="478"/>
      <c r="P718" s="478"/>
      <c r="Q718" s="478"/>
      <c r="R718" s="478"/>
      <c r="S718" s="478"/>
      <c r="T718" s="478"/>
      <c r="U718" s="478"/>
      <c r="V718" s="478"/>
      <c r="W718" s="478"/>
      <c r="X718" s="478"/>
      <c r="Y718" s="478"/>
      <c r="Z718" s="478"/>
    </row>
    <row r="719" spans="1:26" ht="22.5" customHeight="1">
      <c r="A719" s="478"/>
      <c r="O719" s="478"/>
      <c r="P719" s="478"/>
      <c r="Q719" s="478"/>
      <c r="R719" s="478"/>
      <c r="S719" s="478"/>
      <c r="T719" s="478"/>
      <c r="U719" s="478"/>
      <c r="V719" s="478"/>
      <c r="W719" s="478"/>
      <c r="X719" s="478"/>
      <c r="Y719" s="478"/>
      <c r="Z719" s="478"/>
    </row>
    <row r="720" spans="1:26" ht="22.5" customHeight="1">
      <c r="A720" s="478"/>
      <c r="O720" s="478"/>
      <c r="P720" s="478"/>
      <c r="Q720" s="478"/>
      <c r="R720" s="478"/>
      <c r="S720" s="478"/>
      <c r="T720" s="478"/>
      <c r="U720" s="478"/>
      <c r="V720" s="478"/>
      <c r="W720" s="478"/>
      <c r="X720" s="478"/>
      <c r="Y720" s="478"/>
      <c r="Z720" s="478"/>
    </row>
    <row r="721" spans="1:26" ht="22.5" customHeight="1">
      <c r="A721" s="478"/>
      <c r="O721" s="478"/>
      <c r="P721" s="478"/>
      <c r="Q721" s="478"/>
      <c r="R721" s="478"/>
      <c r="S721" s="478"/>
      <c r="T721" s="478"/>
      <c r="U721" s="478"/>
      <c r="V721" s="478"/>
      <c r="W721" s="478"/>
      <c r="X721" s="478"/>
      <c r="Y721" s="478"/>
      <c r="Z721" s="478"/>
    </row>
    <row r="722" spans="1:26" ht="22.5" customHeight="1">
      <c r="A722" s="478"/>
      <c r="O722" s="478"/>
      <c r="P722" s="478"/>
      <c r="Q722" s="478"/>
      <c r="R722" s="478"/>
      <c r="S722" s="478"/>
      <c r="T722" s="478"/>
      <c r="U722" s="478"/>
      <c r="V722" s="478"/>
      <c r="W722" s="478"/>
      <c r="X722" s="478"/>
      <c r="Y722" s="478"/>
      <c r="Z722" s="478"/>
    </row>
    <row r="723" spans="1:26" ht="22.5" customHeight="1">
      <c r="A723" s="478"/>
      <c r="O723" s="478"/>
      <c r="P723" s="478"/>
      <c r="Q723" s="478"/>
      <c r="R723" s="478"/>
      <c r="S723" s="478"/>
      <c r="T723" s="478"/>
      <c r="U723" s="478"/>
      <c r="V723" s="478"/>
      <c r="W723" s="478"/>
      <c r="X723" s="478"/>
      <c r="Y723" s="478"/>
      <c r="Z723" s="478"/>
    </row>
    <row r="724" spans="1:26" ht="22.5" customHeight="1">
      <c r="A724" s="478"/>
      <c r="O724" s="478"/>
      <c r="P724" s="478"/>
      <c r="Q724" s="478"/>
      <c r="R724" s="478"/>
      <c r="S724" s="478"/>
      <c r="T724" s="478"/>
      <c r="U724" s="478"/>
      <c r="V724" s="478"/>
      <c r="W724" s="478"/>
      <c r="X724" s="478"/>
      <c r="Y724" s="478"/>
      <c r="Z724" s="478"/>
    </row>
    <row r="725" spans="1:26" ht="22.5" customHeight="1">
      <c r="A725" s="478"/>
      <c r="O725" s="478"/>
      <c r="P725" s="478"/>
      <c r="Q725" s="478"/>
      <c r="R725" s="478"/>
      <c r="S725" s="478"/>
      <c r="T725" s="478"/>
      <c r="U725" s="478"/>
      <c r="V725" s="478"/>
      <c r="W725" s="478"/>
      <c r="X725" s="478"/>
      <c r="Y725" s="478"/>
      <c r="Z725" s="478"/>
    </row>
    <row r="726" spans="1:26" ht="22.5" customHeight="1">
      <c r="A726" s="478"/>
      <c r="O726" s="478"/>
      <c r="P726" s="478"/>
      <c r="Q726" s="478"/>
      <c r="R726" s="478"/>
      <c r="S726" s="478"/>
      <c r="T726" s="478"/>
      <c r="U726" s="478"/>
      <c r="V726" s="478"/>
      <c r="W726" s="478"/>
      <c r="X726" s="478"/>
      <c r="Y726" s="478"/>
      <c r="Z726" s="478"/>
    </row>
    <row r="727" spans="1:26" ht="22.5" customHeight="1">
      <c r="A727" s="478"/>
      <c r="O727" s="478"/>
      <c r="P727" s="478"/>
      <c r="Q727" s="478"/>
      <c r="R727" s="478"/>
      <c r="S727" s="478"/>
      <c r="T727" s="478"/>
      <c r="U727" s="478"/>
      <c r="V727" s="478"/>
      <c r="W727" s="478"/>
      <c r="X727" s="478"/>
      <c r="Y727" s="478"/>
      <c r="Z727" s="478"/>
    </row>
    <row r="728" spans="1:26" ht="22.5" customHeight="1">
      <c r="A728" s="478"/>
      <c r="O728" s="478"/>
      <c r="P728" s="478"/>
      <c r="Q728" s="478"/>
      <c r="R728" s="478"/>
      <c r="S728" s="478"/>
      <c r="T728" s="478"/>
      <c r="U728" s="478"/>
      <c r="V728" s="478"/>
      <c r="W728" s="478"/>
      <c r="X728" s="478"/>
      <c r="Y728" s="478"/>
      <c r="Z728" s="478"/>
    </row>
    <row r="729" spans="1:26" ht="22.5" customHeight="1">
      <c r="A729" s="478"/>
      <c r="O729" s="478"/>
      <c r="P729" s="478"/>
      <c r="Q729" s="478"/>
      <c r="R729" s="478"/>
      <c r="S729" s="478"/>
      <c r="T729" s="478"/>
      <c r="U729" s="478"/>
      <c r="V729" s="478"/>
      <c r="W729" s="478"/>
      <c r="X729" s="478"/>
      <c r="Y729" s="478"/>
      <c r="Z729" s="478"/>
    </row>
    <row r="730" spans="1:26" ht="22.5" customHeight="1">
      <c r="A730" s="478"/>
      <c r="O730" s="478"/>
      <c r="P730" s="478"/>
      <c r="Q730" s="478"/>
      <c r="R730" s="478"/>
      <c r="S730" s="478"/>
      <c r="T730" s="478"/>
      <c r="U730" s="478"/>
      <c r="V730" s="478"/>
      <c r="W730" s="478"/>
      <c r="X730" s="478"/>
      <c r="Y730" s="478"/>
      <c r="Z730" s="478"/>
    </row>
    <row r="731" spans="1:26" ht="22.5" customHeight="1">
      <c r="A731" s="478"/>
      <c r="O731" s="478"/>
      <c r="P731" s="478"/>
      <c r="Q731" s="478"/>
      <c r="R731" s="478"/>
      <c r="S731" s="478"/>
      <c r="T731" s="478"/>
      <c r="U731" s="478"/>
      <c r="V731" s="478"/>
      <c r="W731" s="478"/>
      <c r="X731" s="478"/>
      <c r="Y731" s="478"/>
      <c r="Z731" s="478"/>
    </row>
    <row r="732" spans="1:26" ht="22.5" customHeight="1">
      <c r="A732" s="478"/>
      <c r="O732" s="478"/>
      <c r="P732" s="478"/>
      <c r="Q732" s="478"/>
      <c r="R732" s="478"/>
      <c r="S732" s="478"/>
      <c r="T732" s="478"/>
      <c r="U732" s="478"/>
      <c r="V732" s="478"/>
      <c r="W732" s="478"/>
      <c r="X732" s="478"/>
      <c r="Y732" s="478"/>
      <c r="Z732" s="478"/>
    </row>
    <row r="733" spans="1:26" ht="22.5" customHeight="1">
      <c r="A733" s="478"/>
      <c r="O733" s="478"/>
      <c r="P733" s="478"/>
      <c r="Q733" s="478"/>
      <c r="R733" s="478"/>
      <c r="S733" s="478"/>
      <c r="T733" s="478"/>
      <c r="U733" s="478"/>
      <c r="V733" s="478"/>
      <c r="W733" s="478"/>
      <c r="X733" s="478"/>
      <c r="Y733" s="478"/>
      <c r="Z733" s="478"/>
    </row>
    <row r="734" spans="1:26" ht="22.5" customHeight="1">
      <c r="A734" s="478"/>
      <c r="O734" s="478"/>
      <c r="P734" s="478"/>
      <c r="Q734" s="478"/>
      <c r="R734" s="478"/>
      <c r="S734" s="478"/>
      <c r="T734" s="478"/>
      <c r="U734" s="478"/>
      <c r="V734" s="478"/>
      <c r="W734" s="478"/>
      <c r="X734" s="478"/>
      <c r="Y734" s="478"/>
      <c r="Z734" s="478"/>
    </row>
    <row r="735" spans="1:26" ht="22.5" customHeight="1">
      <c r="A735" s="478"/>
      <c r="O735" s="478"/>
      <c r="P735" s="478"/>
      <c r="Q735" s="478"/>
      <c r="R735" s="478"/>
      <c r="S735" s="478"/>
      <c r="T735" s="478"/>
      <c r="U735" s="478"/>
      <c r="V735" s="478"/>
      <c r="W735" s="478"/>
      <c r="X735" s="478"/>
      <c r="Y735" s="478"/>
      <c r="Z735" s="478"/>
    </row>
    <row r="736" spans="1:26" ht="22.5" customHeight="1">
      <c r="A736" s="478"/>
      <c r="O736" s="478"/>
      <c r="P736" s="478"/>
      <c r="Q736" s="478"/>
      <c r="R736" s="478"/>
      <c r="S736" s="478"/>
      <c r="T736" s="478"/>
      <c r="U736" s="478"/>
      <c r="V736" s="478"/>
      <c r="W736" s="478"/>
      <c r="X736" s="478"/>
      <c r="Y736" s="478"/>
      <c r="Z736" s="478"/>
    </row>
    <row r="737" spans="1:26" ht="22.5" customHeight="1">
      <c r="A737" s="478"/>
      <c r="O737" s="478"/>
      <c r="P737" s="478"/>
      <c r="Q737" s="478"/>
      <c r="R737" s="478"/>
      <c r="S737" s="478"/>
      <c r="T737" s="478"/>
      <c r="U737" s="478"/>
      <c r="V737" s="478"/>
      <c r="W737" s="478"/>
      <c r="X737" s="478"/>
      <c r="Y737" s="478"/>
      <c r="Z737" s="478"/>
    </row>
    <row r="738" spans="1:26" ht="22.5" customHeight="1">
      <c r="A738" s="478"/>
      <c r="O738" s="478"/>
      <c r="P738" s="478"/>
      <c r="Q738" s="478"/>
      <c r="R738" s="478"/>
      <c r="S738" s="478"/>
      <c r="T738" s="478"/>
      <c r="U738" s="478"/>
      <c r="V738" s="478"/>
      <c r="W738" s="478"/>
      <c r="X738" s="478"/>
      <c r="Y738" s="478"/>
      <c r="Z738" s="478"/>
    </row>
    <row r="739" spans="1:26" ht="22.5" customHeight="1">
      <c r="A739" s="478"/>
      <c r="O739" s="478"/>
      <c r="P739" s="478"/>
      <c r="Q739" s="478"/>
      <c r="R739" s="478"/>
      <c r="S739" s="478"/>
      <c r="T739" s="478"/>
      <c r="U739" s="478"/>
      <c r="V739" s="478"/>
      <c r="W739" s="478"/>
      <c r="X739" s="478"/>
      <c r="Y739" s="478"/>
      <c r="Z739" s="478"/>
    </row>
    <row r="740" spans="1:26" ht="22.5" customHeight="1">
      <c r="A740" s="478"/>
      <c r="O740" s="478"/>
      <c r="P740" s="478"/>
      <c r="Q740" s="478"/>
      <c r="R740" s="478"/>
      <c r="S740" s="478"/>
      <c r="T740" s="478"/>
      <c r="U740" s="478"/>
      <c r="V740" s="478"/>
      <c r="W740" s="478"/>
      <c r="X740" s="478"/>
      <c r="Y740" s="478"/>
      <c r="Z740" s="478"/>
    </row>
    <row r="741" spans="1:26" ht="22.5" customHeight="1">
      <c r="A741" s="478"/>
      <c r="O741" s="478"/>
      <c r="P741" s="478"/>
      <c r="Q741" s="478"/>
      <c r="R741" s="478"/>
      <c r="S741" s="478"/>
      <c r="T741" s="478"/>
      <c r="U741" s="478"/>
      <c r="V741" s="478"/>
      <c r="W741" s="478"/>
      <c r="X741" s="478"/>
      <c r="Y741" s="478"/>
      <c r="Z741" s="478"/>
    </row>
    <row r="742" spans="1:26" ht="22.5" customHeight="1">
      <c r="A742" s="478"/>
      <c r="O742" s="478"/>
      <c r="P742" s="478"/>
      <c r="Q742" s="478"/>
      <c r="R742" s="478"/>
      <c r="S742" s="478"/>
      <c r="T742" s="478"/>
      <c r="U742" s="478"/>
      <c r="V742" s="478"/>
      <c r="W742" s="478"/>
      <c r="X742" s="478"/>
      <c r="Y742" s="478"/>
      <c r="Z742" s="478"/>
    </row>
    <row r="743" spans="1:26" ht="22.5" customHeight="1">
      <c r="A743" s="478"/>
      <c r="O743" s="478"/>
      <c r="P743" s="478"/>
      <c r="Q743" s="478"/>
      <c r="R743" s="478"/>
      <c r="S743" s="478"/>
      <c r="T743" s="478"/>
      <c r="U743" s="478"/>
      <c r="V743" s="478"/>
      <c r="W743" s="478"/>
      <c r="X743" s="478"/>
      <c r="Y743" s="478"/>
      <c r="Z743" s="478"/>
    </row>
    <row r="744" spans="1:26" ht="22.5" customHeight="1">
      <c r="A744" s="478"/>
      <c r="O744" s="478"/>
      <c r="P744" s="478"/>
      <c r="Q744" s="478"/>
      <c r="R744" s="478"/>
      <c r="S744" s="478"/>
      <c r="T744" s="478"/>
      <c r="U744" s="478"/>
      <c r="V744" s="478"/>
      <c r="W744" s="478"/>
      <c r="X744" s="478"/>
      <c r="Y744" s="478"/>
      <c r="Z744" s="478"/>
    </row>
    <row r="745" spans="1:26" ht="22.5" customHeight="1">
      <c r="A745" s="478"/>
      <c r="O745" s="478"/>
      <c r="P745" s="478"/>
      <c r="Q745" s="478"/>
      <c r="R745" s="478"/>
      <c r="S745" s="478"/>
      <c r="T745" s="478"/>
      <c r="U745" s="478"/>
      <c r="V745" s="478"/>
      <c r="W745" s="478"/>
      <c r="X745" s="478"/>
      <c r="Y745" s="478"/>
      <c r="Z745" s="478"/>
    </row>
    <row r="746" spans="1:26" ht="22.5" customHeight="1">
      <c r="A746" s="478"/>
      <c r="O746" s="478"/>
      <c r="P746" s="478"/>
      <c r="Q746" s="478"/>
      <c r="R746" s="478"/>
      <c r="S746" s="478"/>
      <c r="T746" s="478"/>
      <c r="U746" s="478"/>
      <c r="V746" s="478"/>
      <c r="W746" s="478"/>
      <c r="X746" s="478"/>
      <c r="Y746" s="478"/>
      <c r="Z746" s="478"/>
    </row>
    <row r="747" spans="1:26" ht="22.5" customHeight="1">
      <c r="A747" s="478"/>
      <c r="O747" s="478"/>
      <c r="P747" s="478"/>
      <c r="Q747" s="478"/>
      <c r="R747" s="478"/>
      <c r="S747" s="478"/>
      <c r="T747" s="478"/>
      <c r="U747" s="478"/>
      <c r="V747" s="478"/>
      <c r="W747" s="478"/>
      <c r="X747" s="478"/>
      <c r="Y747" s="478"/>
      <c r="Z747" s="478"/>
    </row>
    <row r="748" spans="1:26" ht="22.5" customHeight="1">
      <c r="A748" s="478"/>
      <c r="O748" s="478"/>
      <c r="P748" s="478"/>
      <c r="Q748" s="478"/>
      <c r="R748" s="478"/>
      <c r="S748" s="478"/>
      <c r="T748" s="478"/>
      <c r="U748" s="478"/>
      <c r="V748" s="478"/>
      <c r="W748" s="478"/>
      <c r="X748" s="478"/>
      <c r="Y748" s="478"/>
      <c r="Z748" s="478"/>
    </row>
    <row r="749" spans="1:26" ht="22.5" customHeight="1">
      <c r="A749" s="478"/>
      <c r="O749" s="478"/>
      <c r="P749" s="478"/>
      <c r="Q749" s="478"/>
      <c r="R749" s="478"/>
      <c r="S749" s="478"/>
      <c r="T749" s="478"/>
      <c r="U749" s="478"/>
      <c r="V749" s="478"/>
      <c r="W749" s="478"/>
      <c r="X749" s="478"/>
      <c r="Y749" s="478"/>
      <c r="Z749" s="478"/>
    </row>
    <row r="750" spans="1:26" ht="22.5" customHeight="1">
      <c r="A750" s="478"/>
      <c r="O750" s="478"/>
      <c r="P750" s="478"/>
      <c r="Q750" s="478"/>
      <c r="R750" s="478"/>
      <c r="S750" s="478"/>
      <c r="T750" s="478"/>
      <c r="U750" s="478"/>
      <c r="V750" s="478"/>
      <c r="W750" s="478"/>
      <c r="X750" s="478"/>
      <c r="Y750" s="478"/>
      <c r="Z750" s="478"/>
    </row>
    <row r="751" spans="1:26" ht="22.5" customHeight="1">
      <c r="A751" s="478"/>
      <c r="O751" s="478"/>
      <c r="P751" s="478"/>
      <c r="Q751" s="478"/>
      <c r="R751" s="478"/>
      <c r="S751" s="478"/>
      <c r="T751" s="478"/>
      <c r="U751" s="478"/>
      <c r="V751" s="478"/>
      <c r="W751" s="478"/>
      <c r="X751" s="478"/>
      <c r="Y751" s="478"/>
      <c r="Z751" s="478"/>
    </row>
    <row r="752" spans="1:26" ht="22.5" customHeight="1">
      <c r="A752" s="478"/>
      <c r="O752" s="478"/>
      <c r="P752" s="478"/>
      <c r="Q752" s="478"/>
      <c r="R752" s="478"/>
      <c r="S752" s="478"/>
      <c r="T752" s="478"/>
      <c r="U752" s="478"/>
      <c r="V752" s="478"/>
      <c r="W752" s="478"/>
      <c r="X752" s="478"/>
      <c r="Y752" s="478"/>
      <c r="Z752" s="478"/>
    </row>
    <row r="753" spans="1:26" ht="22.5" customHeight="1">
      <c r="A753" s="478"/>
      <c r="O753" s="478"/>
      <c r="P753" s="478"/>
      <c r="Q753" s="478"/>
      <c r="R753" s="478"/>
      <c r="S753" s="478"/>
      <c r="T753" s="478"/>
      <c r="U753" s="478"/>
      <c r="V753" s="478"/>
      <c r="W753" s="478"/>
      <c r="X753" s="478"/>
      <c r="Y753" s="478"/>
      <c r="Z753" s="478"/>
    </row>
    <row r="754" spans="1:26" ht="22.5" customHeight="1">
      <c r="A754" s="478"/>
      <c r="O754" s="478"/>
      <c r="P754" s="478"/>
      <c r="Q754" s="478"/>
      <c r="R754" s="478"/>
      <c r="S754" s="478"/>
      <c r="T754" s="478"/>
      <c r="U754" s="478"/>
      <c r="V754" s="478"/>
      <c r="W754" s="478"/>
      <c r="X754" s="478"/>
      <c r="Y754" s="478"/>
      <c r="Z754" s="478"/>
    </row>
    <row r="755" spans="1:26" ht="22.5" customHeight="1">
      <c r="A755" s="478"/>
      <c r="O755" s="478"/>
      <c r="P755" s="478"/>
      <c r="Q755" s="478"/>
      <c r="R755" s="478"/>
      <c r="S755" s="478"/>
      <c r="T755" s="478"/>
      <c r="U755" s="478"/>
      <c r="V755" s="478"/>
      <c r="W755" s="478"/>
      <c r="X755" s="478"/>
      <c r="Y755" s="478"/>
      <c r="Z755" s="478"/>
    </row>
    <row r="756" spans="1:26" ht="22.5" customHeight="1">
      <c r="A756" s="478"/>
      <c r="O756" s="478"/>
      <c r="P756" s="478"/>
      <c r="Q756" s="478"/>
      <c r="R756" s="478"/>
      <c r="S756" s="478"/>
      <c r="T756" s="478"/>
      <c r="U756" s="478"/>
      <c r="V756" s="478"/>
      <c r="W756" s="478"/>
      <c r="X756" s="478"/>
      <c r="Y756" s="478"/>
      <c r="Z756" s="478"/>
    </row>
    <row r="757" spans="1:26" ht="22.5" customHeight="1">
      <c r="A757" s="478"/>
      <c r="O757" s="478"/>
      <c r="P757" s="478"/>
      <c r="Q757" s="478"/>
      <c r="R757" s="478"/>
      <c r="S757" s="478"/>
      <c r="T757" s="478"/>
      <c r="U757" s="478"/>
      <c r="V757" s="478"/>
      <c r="W757" s="478"/>
      <c r="X757" s="478"/>
      <c r="Y757" s="478"/>
      <c r="Z757" s="478"/>
    </row>
    <row r="758" spans="1:26" ht="22.5" customHeight="1">
      <c r="A758" s="478"/>
      <c r="O758" s="478"/>
      <c r="P758" s="478"/>
      <c r="Q758" s="478"/>
      <c r="R758" s="478"/>
      <c r="S758" s="478"/>
      <c r="T758" s="478"/>
      <c r="U758" s="478"/>
      <c r="V758" s="478"/>
      <c r="W758" s="478"/>
      <c r="X758" s="478"/>
      <c r="Y758" s="478"/>
      <c r="Z758" s="478"/>
    </row>
    <row r="759" spans="1:26" ht="22.5" customHeight="1">
      <c r="A759" s="478"/>
      <c r="O759" s="478"/>
      <c r="P759" s="478"/>
      <c r="Q759" s="478"/>
      <c r="R759" s="478"/>
      <c r="S759" s="478"/>
      <c r="T759" s="478"/>
      <c r="U759" s="478"/>
      <c r="V759" s="478"/>
      <c r="W759" s="478"/>
      <c r="X759" s="478"/>
      <c r="Y759" s="478"/>
      <c r="Z759" s="478"/>
    </row>
    <row r="760" spans="1:26" ht="22.5" customHeight="1">
      <c r="A760" s="478"/>
      <c r="O760" s="478"/>
      <c r="P760" s="478"/>
      <c r="Q760" s="478"/>
      <c r="R760" s="478"/>
      <c r="S760" s="478"/>
      <c r="T760" s="478"/>
      <c r="U760" s="478"/>
      <c r="V760" s="478"/>
      <c r="W760" s="478"/>
      <c r="X760" s="478"/>
      <c r="Y760" s="478"/>
      <c r="Z760" s="478"/>
    </row>
    <row r="761" spans="1:26" ht="22.5" customHeight="1">
      <c r="A761" s="478"/>
      <c r="O761" s="478"/>
      <c r="P761" s="478"/>
      <c r="Q761" s="478"/>
      <c r="R761" s="478"/>
      <c r="S761" s="478"/>
      <c r="T761" s="478"/>
      <c r="U761" s="478"/>
      <c r="V761" s="478"/>
      <c r="W761" s="478"/>
      <c r="X761" s="478"/>
      <c r="Y761" s="478"/>
      <c r="Z761" s="478"/>
    </row>
    <row r="762" spans="1:26" ht="22.5" customHeight="1">
      <c r="A762" s="478"/>
      <c r="O762" s="478"/>
      <c r="P762" s="478"/>
      <c r="Q762" s="478"/>
      <c r="R762" s="478"/>
      <c r="S762" s="478"/>
      <c r="T762" s="478"/>
      <c r="U762" s="478"/>
      <c r="V762" s="478"/>
      <c r="W762" s="478"/>
      <c r="X762" s="478"/>
      <c r="Y762" s="478"/>
      <c r="Z762" s="478"/>
    </row>
    <row r="763" spans="1:26" ht="22.5" customHeight="1">
      <c r="A763" s="478"/>
      <c r="O763" s="478"/>
      <c r="P763" s="478"/>
      <c r="Q763" s="478"/>
      <c r="R763" s="478"/>
      <c r="S763" s="478"/>
      <c r="T763" s="478"/>
      <c r="U763" s="478"/>
      <c r="V763" s="478"/>
      <c r="W763" s="478"/>
      <c r="X763" s="478"/>
      <c r="Y763" s="478"/>
      <c r="Z763" s="478"/>
    </row>
    <row r="764" spans="1:26" ht="22.5" customHeight="1">
      <c r="A764" s="478"/>
      <c r="O764" s="478"/>
      <c r="P764" s="478"/>
      <c r="Q764" s="478"/>
      <c r="R764" s="478"/>
      <c r="S764" s="478"/>
      <c r="T764" s="478"/>
      <c r="U764" s="478"/>
      <c r="V764" s="478"/>
      <c r="W764" s="478"/>
      <c r="X764" s="478"/>
      <c r="Y764" s="478"/>
      <c r="Z764" s="478"/>
    </row>
    <row r="765" spans="1:26" ht="22.5" customHeight="1">
      <c r="A765" s="478"/>
      <c r="O765" s="478"/>
      <c r="P765" s="478"/>
      <c r="Q765" s="478"/>
      <c r="R765" s="478"/>
      <c r="S765" s="478"/>
      <c r="T765" s="478"/>
      <c r="U765" s="478"/>
      <c r="V765" s="478"/>
      <c r="W765" s="478"/>
      <c r="X765" s="478"/>
      <c r="Y765" s="478"/>
      <c r="Z765" s="478"/>
    </row>
    <row r="766" spans="1:26" ht="22.5" customHeight="1">
      <c r="A766" s="478"/>
      <c r="O766" s="478"/>
      <c r="P766" s="478"/>
      <c r="Q766" s="478"/>
      <c r="R766" s="478"/>
      <c r="S766" s="478"/>
      <c r="T766" s="478"/>
      <c r="U766" s="478"/>
      <c r="V766" s="478"/>
      <c r="W766" s="478"/>
      <c r="X766" s="478"/>
      <c r="Y766" s="478"/>
      <c r="Z766" s="478"/>
    </row>
    <row r="767" spans="1:26" ht="22.5" customHeight="1">
      <c r="A767" s="478"/>
      <c r="O767" s="478"/>
      <c r="P767" s="478"/>
      <c r="Q767" s="478"/>
      <c r="R767" s="478"/>
      <c r="S767" s="478"/>
      <c r="T767" s="478"/>
      <c r="U767" s="478"/>
      <c r="V767" s="478"/>
      <c r="W767" s="478"/>
      <c r="X767" s="478"/>
      <c r="Y767" s="478"/>
      <c r="Z767" s="478"/>
    </row>
    <row r="768" spans="1:26" ht="22.5" customHeight="1">
      <c r="A768" s="478"/>
      <c r="O768" s="478"/>
      <c r="P768" s="478"/>
      <c r="Q768" s="478"/>
      <c r="R768" s="478"/>
      <c r="S768" s="478"/>
      <c r="T768" s="478"/>
      <c r="U768" s="478"/>
      <c r="V768" s="478"/>
      <c r="W768" s="478"/>
      <c r="X768" s="478"/>
      <c r="Y768" s="478"/>
      <c r="Z768" s="478"/>
    </row>
    <row r="769" spans="1:26" ht="22.5" customHeight="1">
      <c r="A769" s="478"/>
      <c r="O769" s="478"/>
      <c r="P769" s="478"/>
      <c r="Q769" s="478"/>
      <c r="R769" s="478"/>
      <c r="S769" s="478"/>
      <c r="T769" s="478"/>
      <c r="U769" s="478"/>
      <c r="V769" s="478"/>
      <c r="W769" s="478"/>
      <c r="X769" s="478"/>
      <c r="Y769" s="478"/>
      <c r="Z769" s="478"/>
    </row>
    <row r="770" spans="1:26" ht="22.5" customHeight="1">
      <c r="A770" s="478"/>
      <c r="O770" s="478"/>
      <c r="P770" s="478"/>
      <c r="Q770" s="478"/>
      <c r="R770" s="478"/>
      <c r="S770" s="478"/>
      <c r="T770" s="478"/>
      <c r="U770" s="478"/>
      <c r="V770" s="478"/>
      <c r="W770" s="478"/>
      <c r="X770" s="478"/>
      <c r="Y770" s="478"/>
      <c r="Z770" s="478"/>
    </row>
    <row r="771" spans="1:26" ht="22.5" customHeight="1">
      <c r="A771" s="478"/>
      <c r="O771" s="478"/>
      <c r="P771" s="478"/>
      <c r="Q771" s="478"/>
      <c r="R771" s="478"/>
      <c r="S771" s="478"/>
      <c r="T771" s="478"/>
      <c r="U771" s="478"/>
      <c r="V771" s="478"/>
      <c r="W771" s="478"/>
      <c r="X771" s="478"/>
      <c r="Y771" s="478"/>
      <c r="Z771" s="478"/>
    </row>
    <row r="772" spans="1:26" ht="22.5" customHeight="1">
      <c r="A772" s="478"/>
      <c r="O772" s="478"/>
      <c r="P772" s="478"/>
      <c r="Q772" s="478"/>
      <c r="R772" s="478"/>
      <c r="S772" s="478"/>
      <c r="T772" s="478"/>
      <c r="U772" s="478"/>
      <c r="V772" s="478"/>
      <c r="W772" s="478"/>
      <c r="X772" s="478"/>
      <c r="Y772" s="478"/>
      <c r="Z772" s="478"/>
    </row>
    <row r="773" spans="1:26" ht="22.5" customHeight="1">
      <c r="A773" s="478"/>
      <c r="O773" s="478"/>
      <c r="P773" s="478"/>
      <c r="Q773" s="478"/>
      <c r="R773" s="478"/>
      <c r="S773" s="478"/>
      <c r="T773" s="478"/>
      <c r="U773" s="478"/>
      <c r="V773" s="478"/>
      <c r="W773" s="478"/>
      <c r="X773" s="478"/>
      <c r="Y773" s="478"/>
      <c r="Z773" s="478"/>
    </row>
    <row r="774" spans="1:26" ht="22.5" customHeight="1">
      <c r="A774" s="478"/>
      <c r="O774" s="478"/>
      <c r="P774" s="478"/>
      <c r="Q774" s="478"/>
      <c r="R774" s="478"/>
      <c r="S774" s="478"/>
      <c r="T774" s="478"/>
      <c r="U774" s="478"/>
      <c r="V774" s="478"/>
      <c r="W774" s="478"/>
      <c r="X774" s="478"/>
      <c r="Y774" s="478"/>
      <c r="Z774" s="478"/>
    </row>
    <row r="775" spans="1:26" ht="22.5" customHeight="1">
      <c r="A775" s="478"/>
      <c r="O775" s="478"/>
      <c r="P775" s="478"/>
      <c r="Q775" s="478"/>
      <c r="R775" s="478"/>
      <c r="S775" s="478"/>
      <c r="T775" s="478"/>
      <c r="U775" s="478"/>
      <c r="V775" s="478"/>
      <c r="W775" s="478"/>
      <c r="X775" s="478"/>
      <c r="Y775" s="478"/>
      <c r="Z775" s="478"/>
    </row>
    <row r="776" spans="1:26" ht="22.5" customHeight="1">
      <c r="A776" s="478"/>
      <c r="O776" s="478"/>
      <c r="P776" s="478"/>
      <c r="Q776" s="478"/>
      <c r="R776" s="478"/>
      <c r="S776" s="478"/>
      <c r="T776" s="478"/>
      <c r="U776" s="478"/>
      <c r="V776" s="478"/>
      <c r="W776" s="478"/>
      <c r="X776" s="478"/>
      <c r="Y776" s="478"/>
      <c r="Z776" s="478"/>
    </row>
    <row r="777" spans="1:26" ht="22.5" customHeight="1">
      <c r="A777" s="478"/>
      <c r="O777" s="478"/>
      <c r="P777" s="478"/>
      <c r="Q777" s="478"/>
      <c r="R777" s="478"/>
      <c r="S777" s="478"/>
      <c r="T777" s="478"/>
      <c r="U777" s="478"/>
      <c r="V777" s="478"/>
      <c r="W777" s="478"/>
      <c r="X777" s="478"/>
      <c r="Y777" s="478"/>
      <c r="Z777" s="478"/>
    </row>
    <row r="778" spans="1:26" ht="22.5" customHeight="1">
      <c r="A778" s="478"/>
      <c r="O778" s="478"/>
      <c r="P778" s="478"/>
      <c r="Q778" s="478"/>
      <c r="R778" s="478"/>
      <c r="S778" s="478"/>
      <c r="T778" s="478"/>
      <c r="U778" s="478"/>
      <c r="V778" s="478"/>
      <c r="W778" s="478"/>
      <c r="X778" s="478"/>
      <c r="Y778" s="478"/>
      <c r="Z778" s="478"/>
    </row>
    <row r="779" spans="1:26" ht="22.5" customHeight="1">
      <c r="A779" s="478"/>
      <c r="O779" s="478"/>
      <c r="P779" s="478"/>
      <c r="Q779" s="478"/>
      <c r="R779" s="478"/>
      <c r="S779" s="478"/>
      <c r="T779" s="478"/>
      <c r="U779" s="478"/>
      <c r="V779" s="478"/>
      <c r="W779" s="478"/>
      <c r="X779" s="478"/>
      <c r="Y779" s="478"/>
      <c r="Z779" s="478"/>
    </row>
    <row r="780" spans="1:26" ht="22.5" customHeight="1">
      <c r="A780" s="478"/>
      <c r="O780" s="478"/>
      <c r="P780" s="478"/>
      <c r="Q780" s="478"/>
      <c r="R780" s="478"/>
      <c r="S780" s="478"/>
      <c r="T780" s="478"/>
      <c r="U780" s="478"/>
      <c r="V780" s="478"/>
      <c r="W780" s="478"/>
      <c r="X780" s="478"/>
      <c r="Y780" s="478"/>
      <c r="Z780" s="478"/>
    </row>
    <row r="781" spans="1:26" ht="22.5" customHeight="1">
      <c r="A781" s="478"/>
      <c r="O781" s="478"/>
      <c r="P781" s="478"/>
      <c r="Q781" s="478"/>
      <c r="R781" s="478"/>
      <c r="S781" s="478"/>
      <c r="T781" s="478"/>
      <c r="U781" s="478"/>
      <c r="V781" s="478"/>
      <c r="W781" s="478"/>
      <c r="X781" s="478"/>
      <c r="Y781" s="478"/>
      <c r="Z781" s="478"/>
    </row>
    <row r="782" spans="1:26" ht="22.5" customHeight="1">
      <c r="A782" s="478"/>
      <c r="O782" s="478"/>
      <c r="P782" s="478"/>
      <c r="Q782" s="478"/>
      <c r="R782" s="478"/>
      <c r="S782" s="478"/>
      <c r="T782" s="478"/>
      <c r="U782" s="478"/>
      <c r="V782" s="478"/>
      <c r="W782" s="478"/>
      <c r="X782" s="478"/>
      <c r="Y782" s="478"/>
      <c r="Z782" s="478"/>
    </row>
    <row r="783" spans="1:26" ht="22.5" customHeight="1">
      <c r="A783" s="478"/>
      <c r="O783" s="478"/>
      <c r="P783" s="478"/>
      <c r="Q783" s="478"/>
      <c r="R783" s="478"/>
      <c r="S783" s="478"/>
      <c r="T783" s="478"/>
      <c r="U783" s="478"/>
      <c r="V783" s="478"/>
      <c r="W783" s="478"/>
      <c r="X783" s="478"/>
      <c r="Y783" s="478"/>
      <c r="Z783" s="478"/>
    </row>
    <row r="784" spans="1:26" ht="22.5" customHeight="1">
      <c r="A784" s="478"/>
      <c r="O784" s="478"/>
      <c r="P784" s="478"/>
      <c r="Q784" s="478"/>
      <c r="R784" s="478"/>
      <c r="S784" s="478"/>
      <c r="T784" s="478"/>
      <c r="U784" s="478"/>
      <c r="V784" s="478"/>
      <c r="W784" s="478"/>
      <c r="X784" s="478"/>
      <c r="Y784" s="478"/>
      <c r="Z784" s="478"/>
    </row>
    <row r="785" spans="1:26" ht="22.5" customHeight="1">
      <c r="A785" s="478"/>
      <c r="O785" s="478"/>
      <c r="P785" s="478"/>
      <c r="Q785" s="478"/>
      <c r="R785" s="478"/>
      <c r="S785" s="478"/>
      <c r="T785" s="478"/>
      <c r="U785" s="478"/>
      <c r="V785" s="478"/>
      <c r="W785" s="478"/>
      <c r="X785" s="478"/>
      <c r="Y785" s="478"/>
      <c r="Z785" s="478"/>
    </row>
    <row r="786" spans="1:26" ht="22.5" customHeight="1">
      <c r="A786" s="478"/>
      <c r="O786" s="478"/>
      <c r="P786" s="478"/>
      <c r="Q786" s="478"/>
      <c r="R786" s="478"/>
      <c r="S786" s="478"/>
      <c r="T786" s="478"/>
      <c r="U786" s="478"/>
      <c r="V786" s="478"/>
      <c r="W786" s="478"/>
      <c r="X786" s="478"/>
      <c r="Y786" s="478"/>
      <c r="Z786" s="478"/>
    </row>
    <row r="787" spans="1:26" ht="22.5" customHeight="1">
      <c r="A787" s="478"/>
      <c r="O787" s="478"/>
      <c r="P787" s="478"/>
      <c r="Q787" s="478"/>
      <c r="R787" s="478"/>
      <c r="S787" s="478"/>
      <c r="T787" s="478"/>
      <c r="U787" s="478"/>
      <c r="V787" s="478"/>
      <c r="W787" s="478"/>
      <c r="X787" s="478"/>
      <c r="Y787" s="478"/>
      <c r="Z787" s="478"/>
    </row>
    <row r="788" spans="1:26" ht="22.5" customHeight="1">
      <c r="A788" s="478"/>
      <c r="O788" s="478"/>
      <c r="P788" s="478"/>
      <c r="Q788" s="478"/>
      <c r="R788" s="478"/>
      <c r="S788" s="478"/>
      <c r="T788" s="478"/>
      <c r="U788" s="478"/>
      <c r="V788" s="478"/>
      <c r="W788" s="478"/>
      <c r="X788" s="478"/>
      <c r="Y788" s="478"/>
      <c r="Z788" s="478"/>
    </row>
    <row r="789" spans="1:26" ht="22.5" customHeight="1">
      <c r="A789" s="478"/>
      <c r="O789" s="478"/>
      <c r="P789" s="478"/>
      <c r="Q789" s="478"/>
      <c r="R789" s="478"/>
      <c r="S789" s="478"/>
      <c r="T789" s="478"/>
      <c r="U789" s="478"/>
      <c r="V789" s="478"/>
      <c r="W789" s="478"/>
      <c r="X789" s="478"/>
      <c r="Y789" s="478"/>
      <c r="Z789" s="478"/>
    </row>
    <row r="790" spans="1:26" ht="22.5" customHeight="1">
      <c r="A790" s="478"/>
      <c r="O790" s="478"/>
      <c r="P790" s="478"/>
      <c r="Q790" s="478"/>
      <c r="R790" s="478"/>
      <c r="S790" s="478"/>
      <c r="T790" s="478"/>
      <c r="U790" s="478"/>
      <c r="V790" s="478"/>
      <c r="W790" s="478"/>
      <c r="X790" s="478"/>
      <c r="Y790" s="478"/>
      <c r="Z790" s="478"/>
    </row>
    <row r="791" spans="1:26" ht="22.5" customHeight="1">
      <c r="A791" s="478"/>
      <c r="O791" s="478"/>
      <c r="P791" s="478"/>
      <c r="Q791" s="478"/>
      <c r="R791" s="478"/>
      <c r="S791" s="478"/>
      <c r="T791" s="478"/>
      <c r="U791" s="478"/>
      <c r="V791" s="478"/>
      <c r="W791" s="478"/>
      <c r="X791" s="478"/>
      <c r="Y791" s="478"/>
      <c r="Z791" s="478"/>
    </row>
    <row r="792" spans="1:26" ht="22.5" customHeight="1">
      <c r="A792" s="478"/>
      <c r="O792" s="478"/>
      <c r="P792" s="478"/>
      <c r="Q792" s="478"/>
      <c r="R792" s="478"/>
      <c r="S792" s="478"/>
      <c r="T792" s="478"/>
      <c r="U792" s="478"/>
      <c r="V792" s="478"/>
      <c r="W792" s="478"/>
      <c r="X792" s="478"/>
      <c r="Y792" s="478"/>
      <c r="Z792" s="478"/>
    </row>
    <row r="793" spans="1:26" ht="22.5" customHeight="1">
      <c r="A793" s="478"/>
      <c r="O793" s="478"/>
      <c r="P793" s="478"/>
      <c r="Q793" s="478"/>
      <c r="R793" s="478"/>
      <c r="S793" s="478"/>
      <c r="T793" s="478"/>
      <c r="U793" s="478"/>
      <c r="V793" s="478"/>
      <c r="W793" s="478"/>
      <c r="X793" s="478"/>
      <c r="Y793" s="478"/>
      <c r="Z793" s="478"/>
    </row>
    <row r="794" spans="1:26" ht="22.5" customHeight="1">
      <c r="A794" s="478"/>
      <c r="O794" s="478"/>
      <c r="P794" s="478"/>
      <c r="Q794" s="478"/>
      <c r="R794" s="478"/>
      <c r="S794" s="478"/>
      <c r="T794" s="478"/>
      <c r="U794" s="478"/>
      <c r="V794" s="478"/>
      <c r="W794" s="478"/>
      <c r="X794" s="478"/>
      <c r="Y794" s="478"/>
      <c r="Z794" s="478"/>
    </row>
    <row r="795" spans="1:26" ht="22.5" customHeight="1">
      <c r="A795" s="478"/>
      <c r="O795" s="478"/>
      <c r="P795" s="478"/>
      <c r="Q795" s="478"/>
      <c r="R795" s="478"/>
      <c r="S795" s="478"/>
      <c r="T795" s="478"/>
      <c r="U795" s="478"/>
      <c r="V795" s="478"/>
      <c r="W795" s="478"/>
      <c r="X795" s="478"/>
      <c r="Y795" s="478"/>
      <c r="Z795" s="478"/>
    </row>
    <row r="796" spans="1:26" ht="22.5" customHeight="1">
      <c r="A796" s="478"/>
      <c r="O796" s="478"/>
      <c r="P796" s="478"/>
      <c r="Q796" s="478"/>
      <c r="R796" s="478"/>
      <c r="S796" s="478"/>
      <c r="T796" s="478"/>
      <c r="U796" s="478"/>
      <c r="V796" s="478"/>
      <c r="W796" s="478"/>
      <c r="X796" s="478"/>
      <c r="Y796" s="478"/>
      <c r="Z796" s="478"/>
    </row>
    <row r="797" spans="1:26" ht="22.5" customHeight="1">
      <c r="A797" s="478"/>
      <c r="O797" s="478"/>
      <c r="P797" s="478"/>
      <c r="Q797" s="478"/>
      <c r="R797" s="478"/>
      <c r="S797" s="478"/>
      <c r="T797" s="478"/>
      <c r="U797" s="478"/>
      <c r="V797" s="478"/>
      <c r="W797" s="478"/>
      <c r="X797" s="478"/>
      <c r="Y797" s="478"/>
      <c r="Z797" s="478"/>
    </row>
    <row r="798" spans="1:26" ht="22.5" customHeight="1">
      <c r="A798" s="478"/>
      <c r="O798" s="478"/>
      <c r="P798" s="478"/>
      <c r="Q798" s="478"/>
      <c r="R798" s="478"/>
      <c r="S798" s="478"/>
      <c r="T798" s="478"/>
      <c r="U798" s="478"/>
      <c r="V798" s="478"/>
      <c r="W798" s="478"/>
      <c r="X798" s="478"/>
      <c r="Y798" s="478"/>
      <c r="Z798" s="478"/>
    </row>
    <row r="799" spans="1:26" ht="22.5" customHeight="1">
      <c r="A799" s="478"/>
      <c r="O799" s="478"/>
      <c r="P799" s="478"/>
      <c r="Q799" s="478"/>
      <c r="R799" s="478"/>
      <c r="S799" s="478"/>
      <c r="T799" s="478"/>
      <c r="U799" s="478"/>
      <c r="V799" s="478"/>
      <c r="W799" s="478"/>
      <c r="X799" s="478"/>
      <c r="Y799" s="478"/>
      <c r="Z799" s="478"/>
    </row>
    <row r="800" spans="1:26" ht="22.5" customHeight="1">
      <c r="A800" s="478"/>
      <c r="O800" s="478"/>
      <c r="P800" s="478"/>
      <c r="Q800" s="478"/>
      <c r="R800" s="478"/>
      <c r="S800" s="478"/>
      <c r="T800" s="478"/>
      <c r="U800" s="478"/>
      <c r="V800" s="478"/>
      <c r="W800" s="478"/>
      <c r="X800" s="478"/>
      <c r="Y800" s="478"/>
      <c r="Z800" s="478"/>
    </row>
    <row r="801" spans="1:26" ht="22.5" customHeight="1">
      <c r="A801" s="478"/>
      <c r="O801" s="478"/>
      <c r="P801" s="478"/>
      <c r="Q801" s="478"/>
      <c r="R801" s="478"/>
      <c r="S801" s="478"/>
      <c r="T801" s="478"/>
      <c r="U801" s="478"/>
      <c r="V801" s="478"/>
      <c r="W801" s="478"/>
      <c r="X801" s="478"/>
      <c r="Y801" s="478"/>
      <c r="Z801" s="478"/>
    </row>
    <row r="802" spans="1:26" ht="22.5" customHeight="1">
      <c r="A802" s="478"/>
      <c r="O802" s="478"/>
      <c r="P802" s="478"/>
      <c r="Q802" s="478"/>
      <c r="R802" s="478"/>
      <c r="S802" s="478"/>
      <c r="T802" s="478"/>
      <c r="U802" s="478"/>
      <c r="V802" s="478"/>
      <c r="W802" s="478"/>
      <c r="X802" s="478"/>
      <c r="Y802" s="478"/>
      <c r="Z802" s="478"/>
    </row>
    <row r="803" spans="1:26" ht="22.5" customHeight="1">
      <c r="A803" s="478"/>
      <c r="O803" s="478"/>
      <c r="P803" s="478"/>
      <c r="Q803" s="478"/>
      <c r="R803" s="478"/>
      <c r="S803" s="478"/>
      <c r="T803" s="478"/>
      <c r="U803" s="478"/>
      <c r="V803" s="478"/>
      <c r="W803" s="478"/>
      <c r="X803" s="478"/>
      <c r="Y803" s="478"/>
      <c r="Z803" s="478"/>
    </row>
    <row r="804" spans="1:26" ht="22.5" customHeight="1">
      <c r="A804" s="478"/>
      <c r="O804" s="478"/>
      <c r="P804" s="478"/>
      <c r="Q804" s="478"/>
      <c r="R804" s="478"/>
      <c r="S804" s="478"/>
      <c r="T804" s="478"/>
      <c r="U804" s="478"/>
      <c r="V804" s="478"/>
      <c r="W804" s="478"/>
      <c r="X804" s="478"/>
      <c r="Y804" s="478"/>
      <c r="Z804" s="478"/>
    </row>
    <row r="805" spans="1:26" ht="22.5" customHeight="1">
      <c r="A805" s="478"/>
      <c r="O805" s="478"/>
      <c r="P805" s="478"/>
      <c r="Q805" s="478"/>
      <c r="R805" s="478"/>
      <c r="S805" s="478"/>
      <c r="T805" s="478"/>
      <c r="U805" s="478"/>
      <c r="V805" s="478"/>
      <c r="W805" s="478"/>
      <c r="X805" s="478"/>
      <c r="Y805" s="478"/>
      <c r="Z805" s="478"/>
    </row>
    <row r="806" spans="1:26" ht="22.5" customHeight="1">
      <c r="A806" s="478"/>
      <c r="O806" s="478"/>
      <c r="P806" s="478"/>
      <c r="Q806" s="478"/>
      <c r="R806" s="478"/>
      <c r="S806" s="478"/>
      <c r="T806" s="478"/>
      <c r="U806" s="478"/>
      <c r="V806" s="478"/>
      <c r="W806" s="478"/>
      <c r="X806" s="478"/>
      <c r="Y806" s="478"/>
      <c r="Z806" s="478"/>
    </row>
    <row r="807" spans="1:26" ht="22.5" customHeight="1">
      <c r="A807" s="478"/>
      <c r="O807" s="478"/>
      <c r="P807" s="478"/>
      <c r="Q807" s="478"/>
      <c r="R807" s="478"/>
      <c r="S807" s="478"/>
      <c r="T807" s="478"/>
      <c r="U807" s="478"/>
      <c r="V807" s="478"/>
      <c r="W807" s="478"/>
      <c r="X807" s="478"/>
      <c r="Y807" s="478"/>
      <c r="Z807" s="478"/>
    </row>
    <row r="808" spans="1:26" ht="22.5" customHeight="1">
      <c r="A808" s="478"/>
      <c r="O808" s="478"/>
      <c r="P808" s="478"/>
      <c r="Q808" s="478"/>
      <c r="R808" s="478"/>
      <c r="S808" s="478"/>
      <c r="T808" s="478"/>
      <c r="U808" s="478"/>
      <c r="V808" s="478"/>
      <c r="W808" s="478"/>
      <c r="X808" s="478"/>
      <c r="Y808" s="478"/>
      <c r="Z808" s="478"/>
    </row>
    <row r="809" spans="1:26" ht="22.5" customHeight="1">
      <c r="A809" s="478"/>
      <c r="O809" s="478"/>
      <c r="P809" s="478"/>
      <c r="Q809" s="478"/>
      <c r="R809" s="478"/>
      <c r="S809" s="478"/>
      <c r="T809" s="478"/>
      <c r="U809" s="478"/>
      <c r="V809" s="478"/>
      <c r="W809" s="478"/>
      <c r="X809" s="478"/>
      <c r="Y809" s="478"/>
      <c r="Z809" s="478"/>
    </row>
    <row r="810" spans="1:26" ht="22.5" customHeight="1">
      <c r="A810" s="478"/>
      <c r="O810" s="478"/>
      <c r="P810" s="478"/>
      <c r="Q810" s="478"/>
      <c r="R810" s="478"/>
      <c r="S810" s="478"/>
      <c r="T810" s="478"/>
      <c r="U810" s="478"/>
      <c r="V810" s="478"/>
      <c r="W810" s="478"/>
      <c r="X810" s="478"/>
      <c r="Y810" s="478"/>
      <c r="Z810" s="478"/>
    </row>
    <row r="811" spans="1:26" ht="22.5" customHeight="1">
      <c r="A811" s="478"/>
      <c r="O811" s="478"/>
      <c r="P811" s="478"/>
      <c r="Q811" s="478"/>
      <c r="R811" s="478"/>
      <c r="S811" s="478"/>
      <c r="T811" s="478"/>
      <c r="U811" s="478"/>
      <c r="V811" s="478"/>
      <c r="W811" s="478"/>
      <c r="X811" s="478"/>
      <c r="Y811" s="478"/>
      <c r="Z811" s="478"/>
    </row>
    <row r="812" spans="1:26" ht="22.5" customHeight="1">
      <c r="A812" s="478"/>
      <c r="O812" s="478"/>
      <c r="P812" s="478"/>
      <c r="Q812" s="478"/>
      <c r="R812" s="478"/>
      <c r="S812" s="478"/>
      <c r="T812" s="478"/>
      <c r="U812" s="478"/>
      <c r="V812" s="478"/>
      <c r="W812" s="478"/>
      <c r="X812" s="478"/>
      <c r="Y812" s="478"/>
      <c r="Z812" s="478"/>
    </row>
    <row r="813" spans="1:26" ht="22.5" customHeight="1">
      <c r="A813" s="478"/>
      <c r="O813" s="478"/>
      <c r="P813" s="478"/>
      <c r="Q813" s="478"/>
      <c r="R813" s="478"/>
      <c r="S813" s="478"/>
      <c r="T813" s="478"/>
      <c r="U813" s="478"/>
      <c r="V813" s="478"/>
      <c r="W813" s="478"/>
      <c r="X813" s="478"/>
      <c r="Y813" s="478"/>
      <c r="Z813" s="478"/>
    </row>
    <row r="814" spans="1:26" ht="22.5" customHeight="1">
      <c r="A814" s="478"/>
      <c r="O814" s="478"/>
      <c r="P814" s="478"/>
      <c r="Q814" s="478"/>
      <c r="R814" s="478"/>
      <c r="S814" s="478"/>
      <c r="T814" s="478"/>
      <c r="U814" s="478"/>
      <c r="V814" s="478"/>
      <c r="W814" s="478"/>
      <c r="X814" s="478"/>
      <c r="Y814" s="478"/>
      <c r="Z814" s="478"/>
    </row>
    <row r="815" spans="1:26" ht="22.5" customHeight="1">
      <c r="A815" s="478"/>
      <c r="O815" s="478"/>
      <c r="P815" s="478"/>
      <c r="Q815" s="478"/>
      <c r="R815" s="478"/>
      <c r="S815" s="478"/>
      <c r="T815" s="478"/>
      <c r="U815" s="478"/>
      <c r="V815" s="478"/>
      <c r="W815" s="478"/>
      <c r="X815" s="478"/>
      <c r="Y815" s="478"/>
      <c r="Z815" s="478"/>
    </row>
    <row r="816" spans="1:26" ht="22.5" customHeight="1">
      <c r="A816" s="478"/>
      <c r="O816" s="478"/>
      <c r="P816" s="478"/>
      <c r="Q816" s="478"/>
      <c r="R816" s="478"/>
      <c r="S816" s="478"/>
      <c r="T816" s="478"/>
      <c r="U816" s="478"/>
      <c r="V816" s="478"/>
      <c r="W816" s="478"/>
      <c r="X816" s="478"/>
      <c r="Y816" s="478"/>
      <c r="Z816" s="478"/>
    </row>
    <row r="817" spans="1:26" ht="22.5" customHeight="1">
      <c r="A817" s="478"/>
      <c r="O817" s="478"/>
      <c r="P817" s="478"/>
      <c r="Q817" s="478"/>
      <c r="R817" s="478"/>
      <c r="S817" s="478"/>
      <c r="T817" s="478"/>
      <c r="U817" s="478"/>
      <c r="V817" s="478"/>
      <c r="W817" s="478"/>
      <c r="X817" s="478"/>
      <c r="Y817" s="478"/>
      <c r="Z817" s="478"/>
    </row>
    <row r="818" spans="1:26" ht="22.5" customHeight="1">
      <c r="A818" s="478"/>
      <c r="O818" s="478"/>
      <c r="P818" s="478"/>
      <c r="Q818" s="478"/>
      <c r="R818" s="478"/>
      <c r="S818" s="478"/>
      <c r="T818" s="478"/>
      <c r="U818" s="478"/>
      <c r="V818" s="478"/>
      <c r="W818" s="478"/>
      <c r="X818" s="478"/>
      <c r="Y818" s="478"/>
      <c r="Z818" s="478"/>
    </row>
    <row r="819" spans="1:26" ht="22.5" customHeight="1">
      <c r="A819" s="478"/>
      <c r="O819" s="478"/>
      <c r="P819" s="478"/>
      <c r="Q819" s="478"/>
      <c r="R819" s="478"/>
      <c r="S819" s="478"/>
      <c r="T819" s="478"/>
      <c r="U819" s="478"/>
      <c r="V819" s="478"/>
      <c r="W819" s="478"/>
      <c r="X819" s="478"/>
      <c r="Y819" s="478"/>
      <c r="Z819" s="478"/>
    </row>
    <row r="820" spans="1:26" ht="22.5" customHeight="1">
      <c r="A820" s="478"/>
      <c r="O820" s="478"/>
      <c r="P820" s="478"/>
      <c r="Q820" s="478"/>
      <c r="R820" s="478"/>
      <c r="S820" s="478"/>
      <c r="T820" s="478"/>
      <c r="U820" s="478"/>
      <c r="V820" s="478"/>
      <c r="W820" s="478"/>
      <c r="X820" s="478"/>
      <c r="Y820" s="478"/>
      <c r="Z820" s="478"/>
    </row>
    <row r="821" spans="1:26" ht="22.5" customHeight="1">
      <c r="A821" s="478"/>
      <c r="O821" s="478"/>
      <c r="P821" s="478"/>
      <c r="Q821" s="478"/>
      <c r="R821" s="478"/>
      <c r="S821" s="478"/>
      <c r="T821" s="478"/>
      <c r="U821" s="478"/>
      <c r="V821" s="478"/>
      <c r="W821" s="478"/>
      <c r="X821" s="478"/>
      <c r="Y821" s="478"/>
      <c r="Z821" s="478"/>
    </row>
    <row r="822" spans="1:26" ht="22.5" customHeight="1">
      <c r="A822" s="478"/>
      <c r="O822" s="478"/>
      <c r="P822" s="478"/>
      <c r="Q822" s="478"/>
      <c r="R822" s="478"/>
      <c r="S822" s="478"/>
      <c r="T822" s="478"/>
      <c r="U822" s="478"/>
      <c r="V822" s="478"/>
      <c r="W822" s="478"/>
      <c r="X822" s="478"/>
      <c r="Y822" s="478"/>
      <c r="Z822" s="478"/>
    </row>
    <row r="823" spans="1:26" ht="22.5" customHeight="1">
      <c r="A823" s="478"/>
      <c r="O823" s="478"/>
      <c r="P823" s="478"/>
      <c r="Q823" s="478"/>
      <c r="R823" s="478"/>
      <c r="S823" s="478"/>
      <c r="T823" s="478"/>
      <c r="U823" s="478"/>
      <c r="V823" s="478"/>
      <c r="W823" s="478"/>
      <c r="X823" s="478"/>
      <c r="Y823" s="478"/>
      <c r="Z823" s="478"/>
    </row>
    <row r="824" spans="1:26" ht="22.5" customHeight="1">
      <c r="A824" s="478"/>
      <c r="O824" s="478"/>
      <c r="P824" s="478"/>
      <c r="Q824" s="478"/>
      <c r="R824" s="478"/>
      <c r="S824" s="478"/>
      <c r="T824" s="478"/>
      <c r="U824" s="478"/>
      <c r="V824" s="478"/>
      <c r="W824" s="478"/>
      <c r="X824" s="478"/>
      <c r="Y824" s="478"/>
      <c r="Z824" s="478"/>
    </row>
    <row r="825" spans="1:26" ht="22.5" customHeight="1">
      <c r="A825" s="478"/>
      <c r="O825" s="478"/>
      <c r="P825" s="478"/>
      <c r="Q825" s="478"/>
      <c r="R825" s="478"/>
      <c r="S825" s="478"/>
      <c r="T825" s="478"/>
      <c r="U825" s="478"/>
      <c r="V825" s="478"/>
      <c r="W825" s="478"/>
      <c r="X825" s="478"/>
      <c r="Y825" s="478"/>
      <c r="Z825" s="478"/>
    </row>
    <row r="826" spans="1:26" ht="22.5" customHeight="1">
      <c r="A826" s="478"/>
      <c r="O826" s="478"/>
      <c r="P826" s="478"/>
      <c r="Q826" s="478"/>
      <c r="R826" s="478"/>
      <c r="S826" s="478"/>
      <c r="T826" s="478"/>
      <c r="U826" s="478"/>
      <c r="V826" s="478"/>
      <c r="W826" s="478"/>
      <c r="X826" s="478"/>
      <c r="Y826" s="478"/>
      <c r="Z826" s="478"/>
    </row>
    <row r="827" spans="1:26" ht="22.5" customHeight="1">
      <c r="A827" s="478"/>
      <c r="O827" s="478"/>
      <c r="P827" s="478"/>
      <c r="Q827" s="478"/>
      <c r="R827" s="478"/>
      <c r="S827" s="478"/>
      <c r="T827" s="478"/>
      <c r="U827" s="478"/>
      <c r="V827" s="478"/>
      <c r="W827" s="478"/>
      <c r="X827" s="478"/>
      <c r="Y827" s="478"/>
      <c r="Z827" s="478"/>
    </row>
    <row r="828" spans="1:26" ht="22.5" customHeight="1">
      <c r="A828" s="478"/>
      <c r="O828" s="478"/>
      <c r="P828" s="478"/>
      <c r="Q828" s="478"/>
      <c r="R828" s="478"/>
      <c r="S828" s="478"/>
      <c r="T828" s="478"/>
      <c r="U828" s="478"/>
      <c r="V828" s="478"/>
      <c r="W828" s="478"/>
      <c r="X828" s="478"/>
      <c r="Y828" s="478"/>
      <c r="Z828" s="478"/>
    </row>
    <row r="829" spans="1:26" ht="22.5" customHeight="1">
      <c r="A829" s="478"/>
      <c r="O829" s="478"/>
      <c r="P829" s="478"/>
      <c r="Q829" s="478"/>
      <c r="R829" s="478"/>
      <c r="S829" s="478"/>
      <c r="T829" s="478"/>
      <c r="U829" s="478"/>
      <c r="V829" s="478"/>
      <c r="W829" s="478"/>
      <c r="X829" s="478"/>
      <c r="Y829" s="478"/>
      <c r="Z829" s="478"/>
    </row>
    <row r="830" spans="1:26" ht="22.5" customHeight="1">
      <c r="A830" s="478"/>
      <c r="O830" s="478"/>
      <c r="P830" s="478"/>
      <c r="Q830" s="478"/>
      <c r="R830" s="478"/>
      <c r="S830" s="478"/>
      <c r="T830" s="478"/>
      <c r="U830" s="478"/>
      <c r="V830" s="478"/>
      <c r="W830" s="478"/>
      <c r="X830" s="478"/>
      <c r="Y830" s="478"/>
      <c r="Z830" s="478"/>
    </row>
    <row r="831" spans="1:26" ht="22.5" customHeight="1">
      <c r="A831" s="478"/>
      <c r="O831" s="478"/>
      <c r="P831" s="478"/>
      <c r="Q831" s="478"/>
      <c r="R831" s="478"/>
      <c r="S831" s="478"/>
      <c r="T831" s="478"/>
      <c r="U831" s="478"/>
      <c r="V831" s="478"/>
      <c r="W831" s="478"/>
      <c r="X831" s="478"/>
      <c r="Y831" s="478"/>
      <c r="Z831" s="478"/>
    </row>
    <row r="832" spans="1:26" ht="22.5" customHeight="1">
      <c r="A832" s="478"/>
      <c r="O832" s="478"/>
      <c r="P832" s="478"/>
      <c r="Q832" s="478"/>
      <c r="R832" s="478"/>
      <c r="S832" s="478"/>
      <c r="T832" s="478"/>
      <c r="U832" s="478"/>
      <c r="V832" s="478"/>
      <c r="W832" s="478"/>
      <c r="X832" s="478"/>
      <c r="Y832" s="478"/>
      <c r="Z832" s="478"/>
    </row>
    <row r="833" spans="1:26" ht="22.5" customHeight="1">
      <c r="A833" s="478"/>
      <c r="O833" s="478"/>
      <c r="P833" s="478"/>
      <c r="Q833" s="478"/>
      <c r="R833" s="478"/>
      <c r="S833" s="478"/>
      <c r="T833" s="478"/>
      <c r="U833" s="478"/>
      <c r="V833" s="478"/>
      <c r="W833" s="478"/>
      <c r="X833" s="478"/>
      <c r="Y833" s="478"/>
      <c r="Z833" s="478"/>
    </row>
    <row r="834" spans="1:26" ht="22.5" customHeight="1">
      <c r="A834" s="478"/>
      <c r="O834" s="478"/>
      <c r="P834" s="478"/>
      <c r="Q834" s="478"/>
      <c r="R834" s="478"/>
      <c r="S834" s="478"/>
      <c r="T834" s="478"/>
      <c r="U834" s="478"/>
      <c r="V834" s="478"/>
      <c r="W834" s="478"/>
      <c r="X834" s="478"/>
      <c r="Y834" s="478"/>
      <c r="Z834" s="478"/>
    </row>
    <row r="835" spans="1:26" ht="22.5" customHeight="1">
      <c r="A835" s="478"/>
      <c r="O835" s="478"/>
      <c r="P835" s="478"/>
      <c r="Q835" s="478"/>
      <c r="R835" s="478"/>
      <c r="S835" s="478"/>
      <c r="T835" s="478"/>
      <c r="U835" s="478"/>
      <c r="V835" s="478"/>
      <c r="W835" s="478"/>
      <c r="X835" s="478"/>
      <c r="Y835" s="478"/>
      <c r="Z835" s="478"/>
    </row>
    <row r="836" spans="1:26" ht="22.5" customHeight="1">
      <c r="A836" s="478"/>
      <c r="O836" s="478"/>
      <c r="P836" s="478"/>
      <c r="Q836" s="478"/>
      <c r="R836" s="478"/>
      <c r="S836" s="478"/>
      <c r="T836" s="478"/>
      <c r="U836" s="478"/>
      <c r="V836" s="478"/>
      <c r="W836" s="478"/>
      <c r="X836" s="478"/>
      <c r="Y836" s="478"/>
      <c r="Z836" s="478"/>
    </row>
    <row r="837" spans="1:26" ht="22.5" customHeight="1">
      <c r="A837" s="478"/>
      <c r="O837" s="478"/>
      <c r="P837" s="478"/>
      <c r="Q837" s="478"/>
      <c r="R837" s="478"/>
      <c r="S837" s="478"/>
      <c r="T837" s="478"/>
      <c r="U837" s="478"/>
      <c r="V837" s="478"/>
      <c r="W837" s="478"/>
      <c r="X837" s="478"/>
      <c r="Y837" s="478"/>
      <c r="Z837" s="478"/>
    </row>
    <row r="838" spans="1:26" ht="22.5" customHeight="1">
      <c r="A838" s="478"/>
      <c r="O838" s="478"/>
      <c r="P838" s="478"/>
      <c r="Q838" s="478"/>
      <c r="R838" s="478"/>
      <c r="S838" s="478"/>
      <c r="T838" s="478"/>
      <c r="U838" s="478"/>
      <c r="V838" s="478"/>
      <c r="W838" s="478"/>
      <c r="X838" s="478"/>
      <c r="Y838" s="478"/>
      <c r="Z838" s="478"/>
    </row>
    <row r="839" spans="1:26" ht="22.5" customHeight="1">
      <c r="A839" s="478"/>
      <c r="O839" s="478"/>
      <c r="P839" s="478"/>
      <c r="Q839" s="478"/>
      <c r="R839" s="478"/>
      <c r="S839" s="478"/>
      <c r="T839" s="478"/>
      <c r="U839" s="478"/>
      <c r="V839" s="478"/>
      <c r="W839" s="478"/>
      <c r="X839" s="478"/>
      <c r="Y839" s="478"/>
      <c r="Z839" s="478"/>
    </row>
    <row r="840" spans="1:26" ht="22.5" customHeight="1">
      <c r="A840" s="478"/>
      <c r="O840" s="478"/>
      <c r="P840" s="478"/>
      <c r="Q840" s="478"/>
      <c r="R840" s="478"/>
      <c r="S840" s="478"/>
      <c r="T840" s="478"/>
      <c r="U840" s="478"/>
      <c r="V840" s="478"/>
      <c r="W840" s="478"/>
      <c r="X840" s="478"/>
      <c r="Y840" s="478"/>
      <c r="Z840" s="478"/>
    </row>
    <row r="841" spans="1:26" ht="22.5" customHeight="1">
      <c r="A841" s="478"/>
      <c r="O841" s="478"/>
      <c r="P841" s="478"/>
      <c r="Q841" s="478"/>
      <c r="R841" s="478"/>
      <c r="S841" s="478"/>
      <c r="T841" s="478"/>
      <c r="U841" s="478"/>
      <c r="V841" s="478"/>
      <c r="W841" s="478"/>
      <c r="X841" s="478"/>
      <c r="Y841" s="478"/>
      <c r="Z841" s="478"/>
    </row>
    <row r="842" spans="1:26" ht="22.5" customHeight="1">
      <c r="A842" s="478"/>
      <c r="O842" s="478"/>
      <c r="P842" s="478"/>
      <c r="Q842" s="478"/>
      <c r="R842" s="478"/>
      <c r="S842" s="478"/>
      <c r="T842" s="478"/>
      <c r="U842" s="478"/>
      <c r="V842" s="478"/>
      <c r="W842" s="478"/>
      <c r="X842" s="478"/>
      <c r="Y842" s="478"/>
      <c r="Z842" s="478"/>
    </row>
    <row r="843" spans="1:26" ht="22.5" customHeight="1">
      <c r="A843" s="478"/>
      <c r="O843" s="478"/>
      <c r="P843" s="478"/>
      <c r="Q843" s="478"/>
      <c r="R843" s="478"/>
      <c r="S843" s="478"/>
      <c r="T843" s="478"/>
      <c r="U843" s="478"/>
      <c r="V843" s="478"/>
      <c r="W843" s="478"/>
      <c r="X843" s="478"/>
      <c r="Y843" s="478"/>
      <c r="Z843" s="478"/>
    </row>
    <row r="844" spans="1:26" ht="22.5" customHeight="1">
      <c r="A844" s="478"/>
      <c r="O844" s="478"/>
      <c r="P844" s="478"/>
      <c r="Q844" s="478"/>
      <c r="R844" s="478"/>
      <c r="S844" s="478"/>
      <c r="T844" s="478"/>
      <c r="U844" s="478"/>
      <c r="V844" s="478"/>
      <c r="W844" s="478"/>
      <c r="X844" s="478"/>
      <c r="Y844" s="478"/>
      <c r="Z844" s="478"/>
    </row>
    <row r="845" spans="1:26" ht="22.5" customHeight="1">
      <c r="A845" s="478"/>
      <c r="O845" s="478"/>
      <c r="P845" s="478"/>
      <c r="Q845" s="478"/>
      <c r="R845" s="478"/>
      <c r="S845" s="478"/>
      <c r="T845" s="478"/>
      <c r="U845" s="478"/>
      <c r="V845" s="478"/>
      <c r="W845" s="478"/>
      <c r="X845" s="478"/>
      <c r="Y845" s="478"/>
      <c r="Z845" s="478"/>
    </row>
    <row r="846" spans="1:26" ht="22.5" customHeight="1">
      <c r="A846" s="478"/>
      <c r="O846" s="478"/>
      <c r="P846" s="478"/>
      <c r="Q846" s="478"/>
      <c r="R846" s="478"/>
      <c r="S846" s="478"/>
      <c r="T846" s="478"/>
      <c r="U846" s="478"/>
      <c r="V846" s="478"/>
      <c r="W846" s="478"/>
      <c r="X846" s="478"/>
      <c r="Y846" s="478"/>
      <c r="Z846" s="478"/>
    </row>
    <row r="847" spans="1:26" ht="22.5" customHeight="1">
      <c r="A847" s="478"/>
      <c r="O847" s="478"/>
      <c r="P847" s="478"/>
      <c r="Q847" s="478"/>
      <c r="R847" s="478"/>
      <c r="S847" s="478"/>
      <c r="T847" s="478"/>
      <c r="U847" s="478"/>
      <c r="V847" s="478"/>
      <c r="W847" s="478"/>
      <c r="X847" s="478"/>
      <c r="Y847" s="478"/>
      <c r="Z847" s="478"/>
    </row>
    <row r="848" spans="1:26" ht="22.5" customHeight="1">
      <c r="A848" s="478"/>
      <c r="O848" s="478"/>
      <c r="P848" s="478"/>
      <c r="Q848" s="478"/>
      <c r="R848" s="478"/>
      <c r="S848" s="478"/>
      <c r="T848" s="478"/>
      <c r="U848" s="478"/>
      <c r="V848" s="478"/>
      <c r="W848" s="478"/>
      <c r="X848" s="478"/>
      <c r="Y848" s="478"/>
      <c r="Z848" s="478"/>
    </row>
    <row r="849" spans="1:26" ht="22.5" customHeight="1">
      <c r="A849" s="478"/>
      <c r="O849" s="478"/>
      <c r="P849" s="478"/>
      <c r="Q849" s="478"/>
      <c r="R849" s="478"/>
      <c r="S849" s="478"/>
      <c r="T849" s="478"/>
      <c r="U849" s="478"/>
      <c r="V849" s="478"/>
      <c r="W849" s="478"/>
      <c r="X849" s="478"/>
      <c r="Y849" s="478"/>
      <c r="Z849" s="478"/>
    </row>
    <row r="850" spans="1:26" ht="22.5" customHeight="1">
      <c r="A850" s="478"/>
      <c r="O850" s="478"/>
      <c r="P850" s="478"/>
      <c r="Q850" s="478"/>
      <c r="R850" s="478"/>
      <c r="S850" s="478"/>
      <c r="T850" s="478"/>
      <c r="U850" s="478"/>
      <c r="V850" s="478"/>
      <c r="W850" s="478"/>
      <c r="X850" s="478"/>
      <c r="Y850" s="478"/>
      <c r="Z850" s="478"/>
    </row>
    <row r="851" spans="1:26" ht="22.5" customHeight="1">
      <c r="A851" s="478"/>
      <c r="O851" s="478"/>
      <c r="P851" s="478"/>
      <c r="Q851" s="478"/>
      <c r="R851" s="478"/>
      <c r="S851" s="478"/>
      <c r="T851" s="478"/>
      <c r="U851" s="478"/>
      <c r="V851" s="478"/>
      <c r="W851" s="478"/>
      <c r="X851" s="478"/>
      <c r="Y851" s="478"/>
      <c r="Z851" s="478"/>
    </row>
    <row r="852" spans="1:26" ht="22.5" customHeight="1">
      <c r="A852" s="478"/>
      <c r="O852" s="478"/>
      <c r="P852" s="478"/>
      <c r="Q852" s="478"/>
      <c r="R852" s="478"/>
      <c r="S852" s="478"/>
      <c r="T852" s="478"/>
      <c r="U852" s="478"/>
      <c r="V852" s="478"/>
      <c r="W852" s="478"/>
      <c r="X852" s="478"/>
      <c r="Y852" s="478"/>
      <c r="Z852" s="478"/>
    </row>
    <row r="853" spans="1:26" ht="22.5" customHeight="1">
      <c r="A853" s="478"/>
      <c r="O853" s="478"/>
      <c r="P853" s="478"/>
      <c r="Q853" s="478"/>
      <c r="R853" s="478"/>
      <c r="S853" s="478"/>
      <c r="T853" s="478"/>
      <c r="U853" s="478"/>
      <c r="V853" s="478"/>
      <c r="W853" s="478"/>
      <c r="X853" s="478"/>
      <c r="Y853" s="478"/>
      <c r="Z853" s="478"/>
    </row>
    <row r="854" spans="1:26" ht="22.5" customHeight="1">
      <c r="A854" s="478"/>
      <c r="O854" s="478"/>
      <c r="P854" s="478"/>
      <c r="Q854" s="478"/>
      <c r="R854" s="478"/>
      <c r="S854" s="478"/>
      <c r="T854" s="478"/>
      <c r="U854" s="478"/>
      <c r="V854" s="478"/>
      <c r="W854" s="478"/>
      <c r="X854" s="478"/>
      <c r="Y854" s="478"/>
      <c r="Z854" s="478"/>
    </row>
    <row r="855" spans="1:26" ht="22.5" customHeight="1">
      <c r="A855" s="478"/>
      <c r="O855" s="478"/>
      <c r="P855" s="478"/>
      <c r="Q855" s="478"/>
      <c r="R855" s="478"/>
      <c r="S855" s="478"/>
      <c r="T855" s="478"/>
      <c r="U855" s="478"/>
      <c r="V855" s="478"/>
      <c r="W855" s="478"/>
      <c r="X855" s="478"/>
      <c r="Y855" s="478"/>
      <c r="Z855" s="478"/>
    </row>
    <row r="856" spans="1:26" ht="22.5" customHeight="1">
      <c r="A856" s="478"/>
      <c r="O856" s="478"/>
      <c r="P856" s="478"/>
      <c r="Q856" s="478"/>
      <c r="R856" s="478"/>
      <c r="S856" s="478"/>
      <c r="T856" s="478"/>
      <c r="U856" s="478"/>
      <c r="V856" s="478"/>
      <c r="W856" s="478"/>
      <c r="X856" s="478"/>
      <c r="Y856" s="478"/>
      <c r="Z856" s="478"/>
    </row>
    <row r="857" spans="1:26" ht="22.5" customHeight="1">
      <c r="A857" s="478"/>
      <c r="O857" s="478"/>
      <c r="P857" s="478"/>
      <c r="Q857" s="478"/>
      <c r="R857" s="478"/>
      <c r="S857" s="478"/>
      <c r="T857" s="478"/>
      <c r="U857" s="478"/>
      <c r="V857" s="478"/>
      <c r="W857" s="478"/>
      <c r="X857" s="478"/>
      <c r="Y857" s="478"/>
      <c r="Z857" s="478"/>
    </row>
    <row r="858" spans="1:26" ht="22.5" customHeight="1">
      <c r="A858" s="478"/>
      <c r="O858" s="478"/>
      <c r="P858" s="478"/>
      <c r="Q858" s="478"/>
      <c r="R858" s="478"/>
      <c r="S858" s="478"/>
      <c r="T858" s="478"/>
      <c r="U858" s="478"/>
      <c r="V858" s="478"/>
      <c r="W858" s="478"/>
      <c r="X858" s="478"/>
      <c r="Y858" s="478"/>
      <c r="Z858" s="478"/>
    </row>
    <row r="859" spans="1:26" ht="22.5" customHeight="1">
      <c r="A859" s="478"/>
      <c r="O859" s="478"/>
      <c r="P859" s="478"/>
      <c r="Q859" s="478"/>
      <c r="R859" s="478"/>
      <c r="S859" s="478"/>
      <c r="T859" s="478"/>
      <c r="U859" s="478"/>
      <c r="V859" s="478"/>
      <c r="W859" s="478"/>
      <c r="X859" s="478"/>
      <c r="Y859" s="478"/>
      <c r="Z859" s="478"/>
    </row>
    <row r="860" spans="1:26" ht="22.5" customHeight="1">
      <c r="A860" s="478"/>
      <c r="O860" s="478"/>
      <c r="P860" s="478"/>
      <c r="Q860" s="478"/>
      <c r="R860" s="478"/>
      <c r="S860" s="478"/>
      <c r="T860" s="478"/>
      <c r="U860" s="478"/>
      <c r="V860" s="478"/>
      <c r="W860" s="478"/>
      <c r="X860" s="478"/>
      <c r="Y860" s="478"/>
      <c r="Z860" s="478"/>
    </row>
    <row r="861" spans="1:26" ht="22.5" customHeight="1">
      <c r="A861" s="478"/>
      <c r="O861" s="478"/>
      <c r="P861" s="478"/>
      <c r="Q861" s="478"/>
      <c r="R861" s="478"/>
      <c r="S861" s="478"/>
      <c r="T861" s="478"/>
      <c r="U861" s="478"/>
      <c r="V861" s="478"/>
      <c r="W861" s="478"/>
      <c r="X861" s="478"/>
      <c r="Y861" s="478"/>
      <c r="Z861" s="478"/>
    </row>
    <row r="862" spans="1:26" ht="22.5" customHeight="1">
      <c r="A862" s="478"/>
      <c r="O862" s="478"/>
      <c r="P862" s="478"/>
      <c r="Q862" s="478"/>
      <c r="R862" s="478"/>
      <c r="S862" s="478"/>
      <c r="T862" s="478"/>
      <c r="U862" s="478"/>
      <c r="V862" s="478"/>
      <c r="W862" s="478"/>
      <c r="X862" s="478"/>
      <c r="Y862" s="478"/>
      <c r="Z862" s="478"/>
    </row>
    <row r="863" spans="1:26" ht="22.5" customHeight="1">
      <c r="A863" s="478"/>
      <c r="O863" s="478"/>
      <c r="P863" s="478"/>
      <c r="Q863" s="478"/>
      <c r="R863" s="478"/>
      <c r="S863" s="478"/>
      <c r="T863" s="478"/>
      <c r="U863" s="478"/>
      <c r="V863" s="478"/>
      <c r="W863" s="478"/>
      <c r="X863" s="478"/>
      <c r="Y863" s="478"/>
      <c r="Z863" s="478"/>
    </row>
    <row r="864" spans="1:26" ht="22.5" customHeight="1">
      <c r="A864" s="478"/>
      <c r="O864" s="478"/>
      <c r="P864" s="478"/>
      <c r="Q864" s="478"/>
      <c r="R864" s="478"/>
      <c r="S864" s="478"/>
      <c r="T864" s="478"/>
      <c r="U864" s="478"/>
      <c r="V864" s="478"/>
      <c r="W864" s="478"/>
      <c r="X864" s="478"/>
      <c r="Y864" s="478"/>
      <c r="Z864" s="478"/>
    </row>
    <row r="865" spans="1:26" ht="22.5" customHeight="1">
      <c r="A865" s="478"/>
      <c r="O865" s="478"/>
      <c r="P865" s="478"/>
      <c r="Q865" s="478"/>
      <c r="R865" s="478"/>
      <c r="S865" s="478"/>
      <c r="T865" s="478"/>
      <c r="U865" s="478"/>
      <c r="V865" s="478"/>
      <c r="W865" s="478"/>
      <c r="X865" s="478"/>
      <c r="Y865" s="478"/>
      <c r="Z865" s="478"/>
    </row>
    <row r="866" spans="1:26" ht="22.5" customHeight="1">
      <c r="A866" s="478"/>
      <c r="O866" s="478"/>
      <c r="P866" s="478"/>
      <c r="Q866" s="478"/>
      <c r="R866" s="478"/>
      <c r="S866" s="478"/>
      <c r="T866" s="478"/>
      <c r="U866" s="478"/>
      <c r="V866" s="478"/>
      <c r="W866" s="478"/>
      <c r="X866" s="478"/>
      <c r="Y866" s="478"/>
      <c r="Z866" s="478"/>
    </row>
    <row r="867" spans="1:26" ht="22.5" customHeight="1">
      <c r="A867" s="478"/>
      <c r="O867" s="478"/>
      <c r="P867" s="478"/>
      <c r="Q867" s="478"/>
      <c r="R867" s="478"/>
      <c r="S867" s="478"/>
      <c r="T867" s="478"/>
      <c r="U867" s="478"/>
      <c r="V867" s="478"/>
      <c r="W867" s="478"/>
      <c r="X867" s="478"/>
      <c r="Y867" s="478"/>
      <c r="Z867" s="478"/>
    </row>
    <row r="868" spans="1:26" ht="22.5" customHeight="1">
      <c r="A868" s="478"/>
      <c r="O868" s="478"/>
      <c r="P868" s="478"/>
      <c r="Q868" s="478"/>
      <c r="R868" s="478"/>
      <c r="S868" s="478"/>
      <c r="T868" s="478"/>
      <c r="U868" s="478"/>
      <c r="V868" s="478"/>
      <c r="W868" s="478"/>
      <c r="X868" s="478"/>
      <c r="Y868" s="478"/>
      <c r="Z868" s="478"/>
    </row>
    <row r="869" spans="1:26" ht="22.5" customHeight="1">
      <c r="A869" s="478"/>
      <c r="O869" s="478"/>
      <c r="P869" s="478"/>
      <c r="Q869" s="478"/>
      <c r="R869" s="478"/>
      <c r="S869" s="478"/>
      <c r="T869" s="478"/>
      <c r="U869" s="478"/>
      <c r="V869" s="478"/>
      <c r="W869" s="478"/>
      <c r="X869" s="478"/>
      <c r="Y869" s="478"/>
      <c r="Z869" s="478"/>
    </row>
    <row r="870" spans="1:26" ht="22.5" customHeight="1">
      <c r="A870" s="478"/>
      <c r="O870" s="478"/>
      <c r="P870" s="478"/>
      <c r="Q870" s="478"/>
      <c r="R870" s="478"/>
      <c r="S870" s="478"/>
      <c r="T870" s="478"/>
      <c r="U870" s="478"/>
      <c r="V870" s="478"/>
      <c r="W870" s="478"/>
      <c r="X870" s="478"/>
      <c r="Y870" s="478"/>
      <c r="Z870" s="478"/>
    </row>
    <row r="871" spans="1:26" ht="22.5" customHeight="1">
      <c r="A871" s="478"/>
      <c r="O871" s="478"/>
      <c r="P871" s="478"/>
      <c r="Q871" s="478"/>
      <c r="R871" s="478"/>
      <c r="S871" s="478"/>
      <c r="T871" s="478"/>
      <c r="U871" s="478"/>
      <c r="V871" s="478"/>
      <c r="W871" s="478"/>
      <c r="X871" s="478"/>
      <c r="Y871" s="478"/>
      <c r="Z871" s="478"/>
    </row>
    <row r="872" spans="1:26" ht="22.5" customHeight="1">
      <c r="A872" s="478"/>
      <c r="O872" s="478"/>
      <c r="P872" s="478"/>
      <c r="Q872" s="478"/>
      <c r="R872" s="478"/>
      <c r="S872" s="478"/>
      <c r="T872" s="478"/>
      <c r="U872" s="478"/>
      <c r="V872" s="478"/>
      <c r="W872" s="478"/>
      <c r="X872" s="478"/>
      <c r="Y872" s="478"/>
      <c r="Z872" s="478"/>
    </row>
    <row r="873" spans="1:26" ht="22.5" customHeight="1">
      <c r="A873" s="478"/>
      <c r="O873" s="478"/>
      <c r="P873" s="478"/>
      <c r="Q873" s="478"/>
      <c r="R873" s="478"/>
      <c r="S873" s="478"/>
      <c r="T873" s="478"/>
      <c r="U873" s="478"/>
      <c r="V873" s="478"/>
      <c r="W873" s="478"/>
      <c r="X873" s="478"/>
      <c r="Y873" s="478"/>
      <c r="Z873" s="478"/>
    </row>
    <row r="874" spans="1:26" ht="22.5" customHeight="1">
      <c r="A874" s="478"/>
      <c r="O874" s="478"/>
      <c r="P874" s="478"/>
      <c r="Q874" s="478"/>
      <c r="R874" s="478"/>
      <c r="S874" s="478"/>
      <c r="T874" s="478"/>
      <c r="U874" s="478"/>
      <c r="V874" s="478"/>
      <c r="W874" s="478"/>
      <c r="X874" s="478"/>
      <c r="Y874" s="478"/>
      <c r="Z874" s="478"/>
    </row>
    <row r="875" spans="1:26" ht="22.5" customHeight="1">
      <c r="A875" s="478"/>
      <c r="O875" s="478"/>
      <c r="P875" s="478"/>
      <c r="Q875" s="478"/>
      <c r="R875" s="478"/>
      <c r="S875" s="478"/>
      <c r="T875" s="478"/>
      <c r="U875" s="478"/>
      <c r="V875" s="478"/>
      <c r="W875" s="478"/>
      <c r="X875" s="478"/>
      <c r="Y875" s="478"/>
      <c r="Z875" s="478"/>
    </row>
    <row r="876" spans="1:26" ht="22.5" customHeight="1">
      <c r="A876" s="478"/>
      <c r="O876" s="478"/>
      <c r="P876" s="478"/>
      <c r="Q876" s="478"/>
      <c r="R876" s="478"/>
      <c r="S876" s="478"/>
      <c r="T876" s="478"/>
      <c r="U876" s="478"/>
      <c r="V876" s="478"/>
      <c r="W876" s="478"/>
      <c r="X876" s="478"/>
      <c r="Y876" s="478"/>
      <c r="Z876" s="478"/>
    </row>
    <row r="877" spans="1:26" ht="22.5" customHeight="1">
      <c r="A877" s="478"/>
      <c r="O877" s="478"/>
      <c r="P877" s="478"/>
      <c r="Q877" s="478"/>
      <c r="R877" s="478"/>
      <c r="S877" s="478"/>
      <c r="T877" s="478"/>
      <c r="U877" s="478"/>
      <c r="V877" s="478"/>
      <c r="W877" s="478"/>
      <c r="X877" s="478"/>
      <c r="Y877" s="478"/>
      <c r="Z877" s="478"/>
    </row>
    <row r="878" spans="1:26" ht="22.5" customHeight="1">
      <c r="A878" s="478"/>
      <c r="O878" s="478"/>
      <c r="P878" s="478"/>
      <c r="Q878" s="478"/>
      <c r="R878" s="478"/>
      <c r="S878" s="478"/>
      <c r="T878" s="478"/>
      <c r="U878" s="478"/>
      <c r="V878" s="478"/>
      <c r="W878" s="478"/>
      <c r="X878" s="478"/>
      <c r="Y878" s="478"/>
      <c r="Z878" s="478"/>
    </row>
    <row r="879" spans="1:26" ht="22.5" customHeight="1">
      <c r="A879" s="478"/>
      <c r="O879" s="478"/>
      <c r="P879" s="478"/>
      <c r="Q879" s="478"/>
      <c r="R879" s="478"/>
      <c r="S879" s="478"/>
      <c r="T879" s="478"/>
      <c r="U879" s="478"/>
      <c r="V879" s="478"/>
      <c r="W879" s="478"/>
      <c r="X879" s="478"/>
      <c r="Y879" s="478"/>
      <c r="Z879" s="478"/>
    </row>
    <row r="880" spans="1:26" ht="22.5" customHeight="1">
      <c r="A880" s="478"/>
      <c r="O880" s="478"/>
      <c r="P880" s="478"/>
      <c r="Q880" s="478"/>
      <c r="R880" s="478"/>
      <c r="S880" s="478"/>
      <c r="T880" s="478"/>
      <c r="U880" s="478"/>
      <c r="V880" s="478"/>
      <c r="W880" s="478"/>
      <c r="X880" s="478"/>
      <c r="Y880" s="478"/>
      <c r="Z880" s="478"/>
    </row>
    <row r="881" spans="1:26" ht="22.5" customHeight="1">
      <c r="A881" s="478"/>
      <c r="O881" s="478"/>
      <c r="P881" s="478"/>
      <c r="Q881" s="478"/>
      <c r="R881" s="478"/>
      <c r="S881" s="478"/>
      <c r="T881" s="478"/>
      <c r="U881" s="478"/>
      <c r="V881" s="478"/>
      <c r="W881" s="478"/>
      <c r="X881" s="478"/>
      <c r="Y881" s="478"/>
      <c r="Z881" s="478"/>
    </row>
    <row r="882" spans="1:26" ht="22.5" customHeight="1">
      <c r="A882" s="478"/>
      <c r="O882" s="478"/>
      <c r="P882" s="478"/>
      <c r="Q882" s="478"/>
      <c r="R882" s="478"/>
      <c r="S882" s="478"/>
      <c r="T882" s="478"/>
      <c r="U882" s="478"/>
      <c r="V882" s="478"/>
      <c r="W882" s="478"/>
      <c r="X882" s="478"/>
      <c r="Y882" s="478"/>
      <c r="Z882" s="478"/>
    </row>
    <row r="883" spans="1:26" ht="22.5" customHeight="1">
      <c r="A883" s="478"/>
      <c r="O883" s="478"/>
      <c r="P883" s="478"/>
      <c r="Q883" s="478"/>
      <c r="R883" s="478"/>
      <c r="S883" s="478"/>
      <c r="T883" s="478"/>
      <c r="U883" s="478"/>
      <c r="V883" s="478"/>
      <c r="W883" s="478"/>
      <c r="X883" s="478"/>
      <c r="Y883" s="478"/>
      <c r="Z883" s="478"/>
    </row>
    <row r="884" spans="1:26" ht="22.5" customHeight="1">
      <c r="A884" s="478"/>
      <c r="O884" s="478"/>
      <c r="P884" s="478"/>
      <c r="Q884" s="478"/>
      <c r="R884" s="478"/>
      <c r="S884" s="478"/>
      <c r="T884" s="478"/>
      <c r="U884" s="478"/>
      <c r="V884" s="478"/>
      <c r="W884" s="478"/>
      <c r="X884" s="478"/>
      <c r="Y884" s="478"/>
      <c r="Z884" s="478"/>
    </row>
    <row r="885" spans="1:26" ht="22.5" customHeight="1">
      <c r="A885" s="478"/>
      <c r="O885" s="478"/>
      <c r="P885" s="478"/>
      <c r="Q885" s="478"/>
      <c r="R885" s="478"/>
      <c r="S885" s="478"/>
      <c r="T885" s="478"/>
      <c r="U885" s="478"/>
      <c r="V885" s="478"/>
      <c r="W885" s="478"/>
      <c r="X885" s="478"/>
      <c r="Y885" s="478"/>
      <c r="Z885" s="478"/>
    </row>
    <row r="886" spans="1:26" ht="22.5" customHeight="1">
      <c r="A886" s="478"/>
      <c r="O886" s="478"/>
      <c r="P886" s="478"/>
      <c r="Q886" s="478"/>
      <c r="R886" s="478"/>
      <c r="S886" s="478"/>
      <c r="T886" s="478"/>
      <c r="U886" s="478"/>
      <c r="V886" s="478"/>
      <c r="W886" s="478"/>
      <c r="X886" s="478"/>
      <c r="Y886" s="478"/>
      <c r="Z886" s="478"/>
    </row>
    <row r="887" spans="1:26" ht="22.5" customHeight="1">
      <c r="A887" s="478"/>
      <c r="O887" s="478"/>
      <c r="P887" s="478"/>
      <c r="Q887" s="478"/>
      <c r="R887" s="478"/>
      <c r="S887" s="478"/>
      <c r="T887" s="478"/>
      <c r="U887" s="478"/>
      <c r="V887" s="478"/>
      <c r="W887" s="478"/>
      <c r="X887" s="478"/>
      <c r="Y887" s="478"/>
      <c r="Z887" s="478"/>
    </row>
    <row r="888" spans="1:26" ht="22.5" customHeight="1">
      <c r="A888" s="478"/>
      <c r="O888" s="478"/>
      <c r="P888" s="478"/>
      <c r="Q888" s="478"/>
      <c r="R888" s="478"/>
      <c r="S888" s="478"/>
      <c r="T888" s="478"/>
      <c r="U888" s="478"/>
      <c r="V888" s="478"/>
      <c r="W888" s="478"/>
      <c r="X888" s="478"/>
      <c r="Y888" s="478"/>
      <c r="Z888" s="478"/>
    </row>
    <row r="889" spans="1:26" ht="22.5" customHeight="1">
      <c r="A889" s="478"/>
      <c r="O889" s="478"/>
      <c r="P889" s="478"/>
      <c r="Q889" s="478"/>
      <c r="R889" s="478"/>
      <c r="S889" s="478"/>
      <c r="T889" s="478"/>
      <c r="U889" s="478"/>
      <c r="V889" s="478"/>
      <c r="W889" s="478"/>
      <c r="X889" s="478"/>
      <c r="Y889" s="478"/>
      <c r="Z889" s="478"/>
    </row>
    <row r="890" spans="1:26" ht="22.5" customHeight="1">
      <c r="A890" s="478"/>
      <c r="O890" s="478"/>
      <c r="P890" s="478"/>
      <c r="Q890" s="478"/>
      <c r="R890" s="478"/>
      <c r="S890" s="478"/>
      <c r="T890" s="478"/>
      <c r="U890" s="478"/>
      <c r="V890" s="478"/>
      <c r="W890" s="478"/>
      <c r="X890" s="478"/>
      <c r="Y890" s="478"/>
      <c r="Z890" s="478"/>
    </row>
    <row r="891" spans="1:26" ht="22.5" customHeight="1">
      <c r="A891" s="478"/>
      <c r="O891" s="478"/>
      <c r="P891" s="478"/>
      <c r="Q891" s="478"/>
      <c r="R891" s="478"/>
      <c r="S891" s="478"/>
      <c r="T891" s="478"/>
      <c r="U891" s="478"/>
      <c r="V891" s="478"/>
      <c r="W891" s="478"/>
      <c r="X891" s="478"/>
      <c r="Y891" s="478"/>
      <c r="Z891" s="478"/>
    </row>
    <row r="892" spans="1:26" ht="22.5" customHeight="1">
      <c r="A892" s="478"/>
      <c r="O892" s="478"/>
      <c r="P892" s="478"/>
      <c r="Q892" s="478"/>
      <c r="R892" s="478"/>
      <c r="S892" s="478"/>
      <c r="T892" s="478"/>
      <c r="U892" s="478"/>
      <c r="V892" s="478"/>
      <c r="W892" s="478"/>
      <c r="X892" s="478"/>
      <c r="Y892" s="478"/>
      <c r="Z892" s="478"/>
    </row>
    <row r="893" spans="1:26" ht="22.5" customHeight="1">
      <c r="A893" s="478"/>
      <c r="O893" s="478"/>
      <c r="P893" s="478"/>
      <c r="Q893" s="478"/>
      <c r="R893" s="478"/>
      <c r="S893" s="478"/>
      <c r="T893" s="478"/>
      <c r="U893" s="478"/>
      <c r="V893" s="478"/>
      <c r="W893" s="478"/>
      <c r="X893" s="478"/>
      <c r="Y893" s="478"/>
      <c r="Z893" s="478"/>
    </row>
    <row r="894" spans="1:26" ht="22.5" customHeight="1">
      <c r="A894" s="478"/>
      <c r="O894" s="478"/>
      <c r="P894" s="478"/>
      <c r="Q894" s="478"/>
      <c r="R894" s="478"/>
      <c r="S894" s="478"/>
      <c r="T894" s="478"/>
      <c r="U894" s="478"/>
      <c r="V894" s="478"/>
      <c r="W894" s="478"/>
      <c r="X894" s="478"/>
      <c r="Y894" s="478"/>
      <c r="Z894" s="478"/>
    </row>
    <row r="895" spans="1:26" ht="22.5" customHeight="1">
      <c r="A895" s="478"/>
      <c r="O895" s="478"/>
      <c r="P895" s="478"/>
      <c r="Q895" s="478"/>
      <c r="R895" s="478"/>
      <c r="S895" s="478"/>
      <c r="T895" s="478"/>
      <c r="U895" s="478"/>
      <c r="V895" s="478"/>
      <c r="W895" s="478"/>
      <c r="X895" s="478"/>
      <c r="Y895" s="478"/>
      <c r="Z895" s="478"/>
    </row>
    <row r="896" spans="1:26" ht="22.5" customHeight="1">
      <c r="A896" s="478"/>
      <c r="O896" s="478"/>
      <c r="P896" s="478"/>
      <c r="Q896" s="478"/>
      <c r="R896" s="478"/>
      <c r="S896" s="478"/>
      <c r="T896" s="478"/>
      <c r="U896" s="478"/>
      <c r="V896" s="478"/>
      <c r="W896" s="478"/>
      <c r="X896" s="478"/>
      <c r="Y896" s="478"/>
      <c r="Z896" s="478"/>
    </row>
    <row r="897" spans="1:26" ht="22.5" customHeight="1">
      <c r="A897" s="478"/>
      <c r="O897" s="478"/>
      <c r="P897" s="478"/>
      <c r="Q897" s="478"/>
      <c r="R897" s="478"/>
      <c r="S897" s="478"/>
      <c r="T897" s="478"/>
      <c r="U897" s="478"/>
      <c r="V897" s="478"/>
      <c r="W897" s="478"/>
      <c r="X897" s="478"/>
      <c r="Y897" s="478"/>
      <c r="Z897" s="478"/>
    </row>
    <row r="898" spans="1:26" ht="22.5" customHeight="1">
      <c r="A898" s="478"/>
      <c r="O898" s="478"/>
      <c r="P898" s="478"/>
      <c r="Q898" s="478"/>
      <c r="R898" s="478"/>
      <c r="S898" s="478"/>
      <c r="T898" s="478"/>
      <c r="U898" s="478"/>
      <c r="V898" s="478"/>
      <c r="W898" s="478"/>
      <c r="X898" s="478"/>
      <c r="Y898" s="478"/>
      <c r="Z898" s="478"/>
    </row>
    <row r="899" spans="1:26" ht="22.5" customHeight="1">
      <c r="A899" s="478"/>
      <c r="O899" s="478"/>
      <c r="P899" s="478"/>
      <c r="Q899" s="478"/>
      <c r="R899" s="478"/>
      <c r="S899" s="478"/>
      <c r="T899" s="478"/>
      <c r="U899" s="478"/>
      <c r="V899" s="478"/>
      <c r="W899" s="478"/>
      <c r="X899" s="478"/>
      <c r="Y899" s="478"/>
      <c r="Z899" s="478"/>
    </row>
    <row r="900" spans="1:26" ht="22.5" customHeight="1">
      <c r="A900" s="478"/>
      <c r="O900" s="478"/>
      <c r="P900" s="478"/>
      <c r="Q900" s="478"/>
      <c r="R900" s="478"/>
      <c r="S900" s="478"/>
      <c r="T900" s="478"/>
      <c r="U900" s="478"/>
      <c r="V900" s="478"/>
      <c r="W900" s="478"/>
      <c r="X900" s="478"/>
      <c r="Y900" s="478"/>
      <c r="Z900" s="478"/>
    </row>
    <row r="901" spans="1:26" ht="22.5" customHeight="1">
      <c r="A901" s="478"/>
      <c r="O901" s="478"/>
      <c r="P901" s="478"/>
      <c r="Q901" s="478"/>
      <c r="R901" s="478"/>
      <c r="S901" s="478"/>
      <c r="T901" s="478"/>
      <c r="U901" s="478"/>
      <c r="V901" s="478"/>
      <c r="W901" s="478"/>
      <c r="X901" s="478"/>
      <c r="Y901" s="478"/>
      <c r="Z901" s="478"/>
    </row>
    <row r="902" spans="1:26" ht="22.5" customHeight="1">
      <c r="A902" s="478"/>
      <c r="O902" s="478"/>
      <c r="P902" s="478"/>
      <c r="Q902" s="478"/>
      <c r="R902" s="478"/>
      <c r="S902" s="478"/>
      <c r="T902" s="478"/>
      <c r="U902" s="478"/>
      <c r="V902" s="478"/>
      <c r="W902" s="478"/>
      <c r="X902" s="478"/>
      <c r="Y902" s="478"/>
      <c r="Z902" s="478"/>
    </row>
    <row r="903" spans="1:26" ht="22.5" customHeight="1">
      <c r="A903" s="478"/>
      <c r="O903" s="478"/>
      <c r="P903" s="478"/>
      <c r="Q903" s="478"/>
      <c r="R903" s="478"/>
      <c r="S903" s="478"/>
      <c r="T903" s="478"/>
      <c r="U903" s="478"/>
      <c r="V903" s="478"/>
      <c r="W903" s="478"/>
      <c r="X903" s="478"/>
      <c r="Y903" s="478"/>
      <c r="Z903" s="478"/>
    </row>
    <row r="904" spans="1:26" ht="22.5" customHeight="1">
      <c r="A904" s="478"/>
      <c r="O904" s="478"/>
      <c r="P904" s="478"/>
      <c r="Q904" s="478"/>
      <c r="R904" s="478"/>
      <c r="S904" s="478"/>
      <c r="T904" s="478"/>
      <c r="U904" s="478"/>
      <c r="V904" s="478"/>
      <c r="W904" s="478"/>
      <c r="X904" s="478"/>
      <c r="Y904" s="478"/>
      <c r="Z904" s="478"/>
    </row>
    <row r="905" spans="1:26" ht="22.5" customHeight="1">
      <c r="A905" s="478"/>
      <c r="O905" s="478"/>
      <c r="P905" s="478"/>
      <c r="Q905" s="478"/>
      <c r="R905" s="478"/>
      <c r="S905" s="478"/>
      <c r="T905" s="478"/>
      <c r="U905" s="478"/>
      <c r="V905" s="478"/>
      <c r="W905" s="478"/>
      <c r="X905" s="478"/>
      <c r="Y905" s="478"/>
      <c r="Z905" s="478"/>
    </row>
    <row r="906" spans="1:26" ht="22.5" customHeight="1">
      <c r="A906" s="478"/>
      <c r="O906" s="478"/>
      <c r="P906" s="478"/>
      <c r="Q906" s="478"/>
      <c r="R906" s="478"/>
      <c r="S906" s="478"/>
      <c r="T906" s="478"/>
      <c r="U906" s="478"/>
      <c r="V906" s="478"/>
      <c r="W906" s="478"/>
      <c r="X906" s="478"/>
      <c r="Y906" s="478"/>
      <c r="Z906" s="478"/>
    </row>
    <row r="907" spans="1:26" ht="22.5" customHeight="1">
      <c r="A907" s="478"/>
      <c r="O907" s="478"/>
      <c r="P907" s="478"/>
      <c r="Q907" s="478"/>
      <c r="R907" s="478"/>
      <c r="S907" s="478"/>
      <c r="T907" s="478"/>
      <c r="U907" s="478"/>
      <c r="V907" s="478"/>
      <c r="W907" s="478"/>
      <c r="X907" s="478"/>
      <c r="Y907" s="478"/>
      <c r="Z907" s="478"/>
    </row>
    <row r="908" spans="1:26" ht="22.5" customHeight="1">
      <c r="A908" s="478"/>
      <c r="O908" s="478"/>
      <c r="P908" s="478"/>
      <c r="Q908" s="478"/>
      <c r="R908" s="478"/>
      <c r="S908" s="478"/>
      <c r="T908" s="478"/>
      <c r="U908" s="478"/>
      <c r="V908" s="478"/>
      <c r="W908" s="478"/>
      <c r="X908" s="478"/>
      <c r="Y908" s="478"/>
      <c r="Z908" s="478"/>
    </row>
    <row r="909" spans="1:26" ht="22.5" customHeight="1">
      <c r="A909" s="478"/>
      <c r="O909" s="478"/>
      <c r="P909" s="478"/>
      <c r="Q909" s="478"/>
      <c r="R909" s="478"/>
      <c r="S909" s="478"/>
      <c r="T909" s="478"/>
      <c r="U909" s="478"/>
      <c r="V909" s="478"/>
      <c r="W909" s="478"/>
      <c r="X909" s="478"/>
      <c r="Y909" s="478"/>
      <c r="Z909" s="478"/>
    </row>
    <row r="910" spans="1:26" ht="22.5" customHeight="1">
      <c r="A910" s="478"/>
      <c r="O910" s="478"/>
      <c r="P910" s="478"/>
      <c r="Q910" s="478"/>
      <c r="R910" s="478"/>
      <c r="S910" s="478"/>
      <c r="T910" s="478"/>
      <c r="U910" s="478"/>
      <c r="V910" s="478"/>
      <c r="W910" s="478"/>
      <c r="X910" s="478"/>
      <c r="Y910" s="478"/>
      <c r="Z910" s="478"/>
    </row>
    <row r="911" spans="1:26" ht="22.5" customHeight="1">
      <c r="A911" s="478"/>
      <c r="O911" s="478"/>
      <c r="P911" s="478"/>
      <c r="Q911" s="478"/>
      <c r="R911" s="478"/>
      <c r="S911" s="478"/>
      <c r="T911" s="478"/>
      <c r="U911" s="478"/>
      <c r="V911" s="478"/>
      <c r="W911" s="478"/>
      <c r="X911" s="478"/>
      <c r="Y911" s="478"/>
      <c r="Z911" s="478"/>
    </row>
    <row r="912" spans="1:26" ht="22.5" customHeight="1">
      <c r="A912" s="478"/>
      <c r="O912" s="478"/>
      <c r="P912" s="478"/>
      <c r="Q912" s="478"/>
      <c r="R912" s="478"/>
      <c r="S912" s="478"/>
      <c r="T912" s="478"/>
      <c r="U912" s="478"/>
      <c r="V912" s="478"/>
      <c r="W912" s="478"/>
      <c r="X912" s="478"/>
      <c r="Y912" s="478"/>
      <c r="Z912" s="478"/>
    </row>
    <row r="913" spans="1:26" ht="22.5" customHeight="1">
      <c r="A913" s="478"/>
      <c r="O913" s="478"/>
      <c r="P913" s="478"/>
      <c r="Q913" s="478"/>
      <c r="R913" s="478"/>
      <c r="S913" s="478"/>
      <c r="T913" s="478"/>
      <c r="U913" s="478"/>
      <c r="V913" s="478"/>
      <c r="W913" s="478"/>
      <c r="X913" s="478"/>
      <c r="Y913" s="478"/>
      <c r="Z913" s="478"/>
    </row>
    <row r="914" spans="1:26" ht="22.5" customHeight="1">
      <c r="A914" s="478"/>
      <c r="O914" s="478"/>
      <c r="P914" s="478"/>
      <c r="Q914" s="478"/>
      <c r="R914" s="478"/>
      <c r="S914" s="478"/>
      <c r="T914" s="478"/>
      <c r="U914" s="478"/>
      <c r="V914" s="478"/>
      <c r="W914" s="478"/>
      <c r="X914" s="478"/>
      <c r="Y914" s="478"/>
      <c r="Z914" s="478"/>
    </row>
    <row r="915" spans="1:26" ht="22.5" customHeight="1">
      <c r="A915" s="478"/>
      <c r="O915" s="478"/>
      <c r="P915" s="478"/>
      <c r="Q915" s="478"/>
      <c r="R915" s="478"/>
      <c r="S915" s="478"/>
      <c r="T915" s="478"/>
      <c r="U915" s="478"/>
      <c r="V915" s="478"/>
      <c r="W915" s="478"/>
      <c r="X915" s="478"/>
      <c r="Y915" s="478"/>
      <c r="Z915" s="478"/>
    </row>
    <row r="916" spans="1:26" ht="22.5" customHeight="1">
      <c r="A916" s="478"/>
      <c r="O916" s="478"/>
      <c r="P916" s="478"/>
      <c r="Q916" s="478"/>
      <c r="R916" s="478"/>
      <c r="S916" s="478"/>
      <c r="T916" s="478"/>
      <c r="U916" s="478"/>
      <c r="V916" s="478"/>
      <c r="W916" s="478"/>
      <c r="X916" s="478"/>
      <c r="Y916" s="478"/>
      <c r="Z916" s="478"/>
    </row>
    <row r="917" spans="1:26" ht="22.5" customHeight="1">
      <c r="A917" s="478"/>
      <c r="O917" s="478"/>
      <c r="P917" s="478"/>
      <c r="Q917" s="478"/>
      <c r="R917" s="478"/>
      <c r="S917" s="478"/>
      <c r="T917" s="478"/>
      <c r="U917" s="478"/>
      <c r="V917" s="478"/>
      <c r="W917" s="478"/>
      <c r="X917" s="478"/>
      <c r="Y917" s="478"/>
      <c r="Z917" s="478"/>
    </row>
    <row r="918" spans="1:26" ht="22.5" customHeight="1">
      <c r="A918" s="478"/>
      <c r="O918" s="478"/>
      <c r="P918" s="478"/>
      <c r="Q918" s="478"/>
      <c r="R918" s="478"/>
      <c r="S918" s="478"/>
      <c r="T918" s="478"/>
      <c r="U918" s="478"/>
      <c r="V918" s="478"/>
      <c r="W918" s="478"/>
      <c r="X918" s="478"/>
      <c r="Y918" s="478"/>
      <c r="Z918" s="478"/>
    </row>
    <row r="919" spans="1:26" ht="22.5" customHeight="1">
      <c r="A919" s="478"/>
      <c r="O919" s="478"/>
      <c r="P919" s="478"/>
      <c r="Q919" s="478"/>
      <c r="R919" s="478"/>
      <c r="S919" s="478"/>
      <c r="T919" s="478"/>
      <c r="U919" s="478"/>
      <c r="V919" s="478"/>
      <c r="W919" s="478"/>
      <c r="X919" s="478"/>
      <c r="Y919" s="478"/>
      <c r="Z919" s="478"/>
    </row>
    <row r="920" spans="1:26" ht="22.5" customHeight="1">
      <c r="A920" s="478"/>
      <c r="O920" s="478"/>
      <c r="P920" s="478"/>
      <c r="Q920" s="478"/>
      <c r="R920" s="478"/>
      <c r="S920" s="478"/>
      <c r="T920" s="478"/>
      <c r="U920" s="478"/>
      <c r="V920" s="478"/>
      <c r="W920" s="478"/>
      <c r="X920" s="478"/>
      <c r="Y920" s="478"/>
      <c r="Z920" s="478"/>
    </row>
    <row r="921" spans="1:26" ht="22.5" customHeight="1">
      <c r="A921" s="478"/>
      <c r="O921" s="478"/>
      <c r="P921" s="478"/>
      <c r="Q921" s="478"/>
      <c r="R921" s="478"/>
      <c r="S921" s="478"/>
      <c r="T921" s="478"/>
      <c r="U921" s="478"/>
      <c r="V921" s="478"/>
      <c r="W921" s="478"/>
      <c r="X921" s="478"/>
      <c r="Y921" s="478"/>
      <c r="Z921" s="478"/>
    </row>
    <row r="922" spans="1:26" ht="22.5" customHeight="1">
      <c r="A922" s="478"/>
      <c r="O922" s="478"/>
      <c r="P922" s="478"/>
      <c r="Q922" s="478"/>
      <c r="R922" s="478"/>
      <c r="S922" s="478"/>
      <c r="T922" s="478"/>
      <c r="U922" s="478"/>
      <c r="V922" s="478"/>
      <c r="W922" s="478"/>
      <c r="X922" s="478"/>
      <c r="Y922" s="478"/>
      <c r="Z922" s="478"/>
    </row>
    <row r="923" spans="1:26" ht="22.5" customHeight="1">
      <c r="A923" s="478"/>
      <c r="O923" s="478"/>
      <c r="P923" s="478"/>
      <c r="Q923" s="478"/>
      <c r="R923" s="478"/>
      <c r="S923" s="478"/>
      <c r="T923" s="478"/>
      <c r="U923" s="478"/>
      <c r="V923" s="478"/>
      <c r="W923" s="478"/>
      <c r="X923" s="478"/>
      <c r="Y923" s="478"/>
      <c r="Z923" s="478"/>
    </row>
    <row r="924" spans="1:26" ht="22.5" customHeight="1">
      <c r="A924" s="478"/>
      <c r="O924" s="478"/>
      <c r="P924" s="478"/>
      <c r="Q924" s="478"/>
      <c r="R924" s="478"/>
      <c r="S924" s="478"/>
      <c r="T924" s="478"/>
      <c r="U924" s="478"/>
      <c r="V924" s="478"/>
      <c r="W924" s="478"/>
      <c r="X924" s="478"/>
      <c r="Y924" s="478"/>
      <c r="Z924" s="478"/>
    </row>
    <row r="925" spans="1:26" ht="22.5" customHeight="1">
      <c r="A925" s="478"/>
      <c r="O925" s="478"/>
      <c r="P925" s="478"/>
      <c r="Q925" s="478"/>
      <c r="R925" s="478"/>
      <c r="S925" s="478"/>
      <c r="T925" s="478"/>
      <c r="U925" s="478"/>
      <c r="V925" s="478"/>
      <c r="W925" s="478"/>
      <c r="X925" s="478"/>
      <c r="Y925" s="478"/>
      <c r="Z925" s="478"/>
    </row>
    <row r="926" spans="1:26" ht="22.5" customHeight="1">
      <c r="A926" s="478"/>
      <c r="O926" s="478"/>
      <c r="P926" s="478"/>
      <c r="Q926" s="478"/>
      <c r="R926" s="478"/>
      <c r="S926" s="478"/>
      <c r="T926" s="478"/>
      <c r="U926" s="478"/>
      <c r="V926" s="478"/>
      <c r="W926" s="478"/>
      <c r="X926" s="478"/>
      <c r="Y926" s="478"/>
      <c r="Z926" s="478"/>
    </row>
    <row r="927" spans="1:26" ht="22.5" customHeight="1">
      <c r="A927" s="478"/>
      <c r="O927" s="478"/>
      <c r="P927" s="478"/>
      <c r="Q927" s="478"/>
      <c r="R927" s="478"/>
      <c r="S927" s="478"/>
      <c r="T927" s="478"/>
      <c r="U927" s="478"/>
      <c r="V927" s="478"/>
      <c r="W927" s="478"/>
      <c r="X927" s="478"/>
      <c r="Y927" s="478"/>
      <c r="Z927" s="478"/>
    </row>
    <row r="928" spans="1:26" ht="22.5" customHeight="1">
      <c r="A928" s="478"/>
      <c r="O928" s="478"/>
      <c r="P928" s="478"/>
      <c r="Q928" s="478"/>
      <c r="R928" s="478"/>
      <c r="S928" s="478"/>
      <c r="T928" s="478"/>
      <c r="U928" s="478"/>
      <c r="V928" s="478"/>
      <c r="W928" s="478"/>
      <c r="X928" s="478"/>
      <c r="Y928" s="478"/>
      <c r="Z928" s="478"/>
    </row>
    <row r="929" spans="1:26" ht="22.5" customHeight="1">
      <c r="A929" s="478"/>
      <c r="O929" s="478"/>
      <c r="P929" s="478"/>
      <c r="Q929" s="478"/>
      <c r="R929" s="478"/>
      <c r="S929" s="478"/>
      <c r="T929" s="478"/>
      <c r="U929" s="478"/>
      <c r="V929" s="478"/>
      <c r="W929" s="478"/>
      <c r="X929" s="478"/>
      <c r="Y929" s="478"/>
      <c r="Z929" s="478"/>
    </row>
    <row r="930" spans="1:26" ht="22.5" customHeight="1">
      <c r="A930" s="478"/>
      <c r="O930" s="478"/>
      <c r="P930" s="478"/>
      <c r="Q930" s="478"/>
      <c r="R930" s="478"/>
      <c r="S930" s="478"/>
      <c r="T930" s="478"/>
      <c r="U930" s="478"/>
      <c r="V930" s="478"/>
      <c r="W930" s="478"/>
      <c r="X930" s="478"/>
      <c r="Y930" s="478"/>
      <c r="Z930" s="478"/>
    </row>
    <row r="931" spans="1:26" ht="22.5" customHeight="1">
      <c r="A931" s="478"/>
      <c r="O931" s="478"/>
      <c r="P931" s="478"/>
      <c r="Q931" s="478"/>
      <c r="R931" s="478"/>
      <c r="S931" s="478"/>
      <c r="T931" s="478"/>
      <c r="U931" s="478"/>
      <c r="V931" s="478"/>
      <c r="W931" s="478"/>
      <c r="X931" s="478"/>
      <c r="Y931" s="478"/>
      <c r="Z931" s="478"/>
    </row>
    <row r="932" spans="1:26" ht="22.5" customHeight="1">
      <c r="A932" s="478"/>
      <c r="O932" s="478"/>
      <c r="P932" s="478"/>
      <c r="Q932" s="478"/>
      <c r="R932" s="478"/>
      <c r="S932" s="478"/>
      <c r="T932" s="478"/>
      <c r="U932" s="478"/>
      <c r="V932" s="478"/>
      <c r="W932" s="478"/>
      <c r="X932" s="478"/>
      <c r="Y932" s="478"/>
      <c r="Z932" s="478"/>
    </row>
    <row r="933" spans="1:26" ht="22.5" customHeight="1">
      <c r="A933" s="478"/>
      <c r="O933" s="478"/>
      <c r="P933" s="478"/>
      <c r="Q933" s="478"/>
      <c r="R933" s="478"/>
      <c r="S933" s="478"/>
      <c r="T933" s="478"/>
      <c r="U933" s="478"/>
      <c r="V933" s="478"/>
      <c r="W933" s="478"/>
      <c r="X933" s="478"/>
      <c r="Y933" s="478"/>
      <c r="Z933" s="478"/>
    </row>
    <row r="934" spans="1:26" ht="22.5" customHeight="1">
      <c r="A934" s="478"/>
      <c r="O934" s="478"/>
      <c r="P934" s="478"/>
      <c r="Q934" s="478"/>
      <c r="R934" s="478"/>
      <c r="S934" s="478"/>
      <c r="T934" s="478"/>
      <c r="U934" s="478"/>
      <c r="V934" s="478"/>
      <c r="W934" s="478"/>
      <c r="X934" s="478"/>
      <c r="Y934" s="478"/>
      <c r="Z934" s="478"/>
    </row>
    <row r="935" spans="1:26" ht="22.5" customHeight="1">
      <c r="A935" s="478"/>
      <c r="O935" s="478"/>
      <c r="P935" s="478"/>
      <c r="Q935" s="478"/>
      <c r="R935" s="478"/>
      <c r="S935" s="478"/>
      <c r="T935" s="478"/>
      <c r="U935" s="478"/>
      <c r="V935" s="478"/>
      <c r="W935" s="478"/>
      <c r="X935" s="478"/>
      <c r="Y935" s="478"/>
      <c r="Z935" s="478"/>
    </row>
    <row r="936" spans="1:26" ht="22.5" customHeight="1">
      <c r="A936" s="478"/>
      <c r="O936" s="478"/>
      <c r="P936" s="478"/>
      <c r="Q936" s="478"/>
      <c r="R936" s="478"/>
      <c r="S936" s="478"/>
      <c r="T936" s="478"/>
      <c r="U936" s="478"/>
      <c r="V936" s="478"/>
      <c r="W936" s="478"/>
      <c r="X936" s="478"/>
      <c r="Y936" s="478"/>
      <c r="Z936" s="478"/>
    </row>
    <row r="937" spans="1:26" ht="22.5" customHeight="1">
      <c r="A937" s="478"/>
      <c r="O937" s="478"/>
      <c r="P937" s="478"/>
      <c r="Q937" s="478"/>
      <c r="R937" s="478"/>
      <c r="S937" s="478"/>
      <c r="T937" s="478"/>
      <c r="U937" s="478"/>
      <c r="V937" s="478"/>
      <c r="W937" s="478"/>
      <c r="X937" s="478"/>
      <c r="Y937" s="478"/>
      <c r="Z937" s="478"/>
    </row>
    <row r="938" spans="1:26" ht="22.5" customHeight="1">
      <c r="A938" s="478"/>
      <c r="O938" s="478"/>
      <c r="P938" s="478"/>
      <c r="Q938" s="478"/>
      <c r="R938" s="478"/>
      <c r="S938" s="478"/>
      <c r="T938" s="478"/>
      <c r="U938" s="478"/>
      <c r="V938" s="478"/>
      <c r="W938" s="478"/>
      <c r="X938" s="478"/>
      <c r="Y938" s="478"/>
      <c r="Z938" s="478"/>
    </row>
    <row r="939" spans="1:26" ht="22.5" customHeight="1">
      <c r="A939" s="478"/>
      <c r="O939" s="478"/>
      <c r="P939" s="478"/>
      <c r="Q939" s="478"/>
      <c r="R939" s="478"/>
      <c r="S939" s="478"/>
      <c r="T939" s="478"/>
      <c r="U939" s="478"/>
      <c r="V939" s="478"/>
      <c r="W939" s="478"/>
      <c r="X939" s="478"/>
      <c r="Y939" s="478"/>
      <c r="Z939" s="478"/>
    </row>
    <row r="940" spans="1:26" ht="22.5" customHeight="1">
      <c r="A940" s="478"/>
      <c r="O940" s="478"/>
      <c r="P940" s="478"/>
      <c r="Q940" s="478"/>
      <c r="R940" s="478"/>
      <c r="S940" s="478"/>
      <c r="T940" s="478"/>
      <c r="U940" s="478"/>
      <c r="V940" s="478"/>
      <c r="W940" s="478"/>
      <c r="X940" s="478"/>
      <c r="Y940" s="478"/>
      <c r="Z940" s="478"/>
    </row>
    <row r="941" spans="1:26" ht="22.5" customHeight="1">
      <c r="A941" s="478"/>
      <c r="O941" s="478"/>
      <c r="P941" s="478"/>
      <c r="Q941" s="478"/>
      <c r="R941" s="478"/>
      <c r="S941" s="478"/>
      <c r="T941" s="478"/>
      <c r="U941" s="478"/>
      <c r="V941" s="478"/>
      <c r="W941" s="478"/>
      <c r="X941" s="478"/>
      <c r="Y941" s="478"/>
      <c r="Z941" s="478"/>
    </row>
    <row r="942" spans="1:26" ht="22.5" customHeight="1">
      <c r="A942" s="478"/>
      <c r="O942" s="478"/>
      <c r="P942" s="478"/>
      <c r="Q942" s="478"/>
      <c r="R942" s="478"/>
      <c r="S942" s="478"/>
      <c r="T942" s="478"/>
      <c r="U942" s="478"/>
      <c r="V942" s="478"/>
      <c r="W942" s="478"/>
      <c r="X942" s="478"/>
      <c r="Y942" s="478"/>
      <c r="Z942" s="478"/>
    </row>
    <row r="943" spans="1:26" ht="22.5" customHeight="1">
      <c r="A943" s="478"/>
      <c r="O943" s="478"/>
      <c r="P943" s="478"/>
      <c r="Q943" s="478"/>
      <c r="R943" s="478"/>
      <c r="S943" s="478"/>
      <c r="T943" s="478"/>
      <c r="U943" s="478"/>
      <c r="V943" s="478"/>
      <c r="W943" s="478"/>
      <c r="X943" s="478"/>
      <c r="Y943" s="478"/>
      <c r="Z943" s="478"/>
    </row>
    <row r="944" spans="1:26" ht="22.5" customHeight="1">
      <c r="A944" s="478"/>
      <c r="O944" s="478"/>
      <c r="P944" s="478"/>
      <c r="Q944" s="478"/>
      <c r="R944" s="478"/>
      <c r="S944" s="478"/>
      <c r="T944" s="478"/>
      <c r="U944" s="478"/>
      <c r="V944" s="478"/>
      <c r="W944" s="478"/>
      <c r="X944" s="478"/>
      <c r="Y944" s="478"/>
      <c r="Z944" s="478"/>
    </row>
    <row r="945" spans="1:26" ht="22.5" customHeight="1">
      <c r="A945" s="478"/>
      <c r="O945" s="478"/>
      <c r="P945" s="478"/>
      <c r="Q945" s="478"/>
      <c r="R945" s="478"/>
      <c r="S945" s="478"/>
      <c r="T945" s="478"/>
      <c r="U945" s="478"/>
      <c r="V945" s="478"/>
      <c r="W945" s="478"/>
      <c r="X945" s="478"/>
      <c r="Y945" s="478"/>
      <c r="Z945" s="478"/>
    </row>
    <row r="946" spans="1:26" ht="22.5" customHeight="1">
      <c r="A946" s="478"/>
      <c r="O946" s="478"/>
      <c r="P946" s="478"/>
      <c r="Q946" s="478"/>
      <c r="R946" s="478"/>
      <c r="S946" s="478"/>
      <c r="T946" s="478"/>
      <c r="U946" s="478"/>
      <c r="V946" s="478"/>
      <c r="W946" s="478"/>
      <c r="X946" s="478"/>
      <c r="Y946" s="478"/>
      <c r="Z946" s="478"/>
    </row>
    <row r="947" spans="1:26" ht="22.5" customHeight="1">
      <c r="A947" s="478"/>
      <c r="O947" s="478"/>
      <c r="P947" s="478"/>
      <c r="Q947" s="478"/>
      <c r="R947" s="478"/>
      <c r="S947" s="478"/>
      <c r="T947" s="478"/>
      <c r="U947" s="478"/>
      <c r="V947" s="478"/>
      <c r="W947" s="478"/>
      <c r="X947" s="478"/>
      <c r="Y947" s="478"/>
      <c r="Z947" s="478"/>
    </row>
    <row r="948" spans="1:26" ht="22.5" customHeight="1">
      <c r="A948" s="478"/>
      <c r="O948" s="478"/>
      <c r="P948" s="478"/>
      <c r="Q948" s="478"/>
      <c r="R948" s="478"/>
      <c r="S948" s="478"/>
      <c r="T948" s="478"/>
      <c r="U948" s="478"/>
      <c r="V948" s="478"/>
      <c r="W948" s="478"/>
      <c r="X948" s="478"/>
      <c r="Y948" s="478"/>
      <c r="Z948" s="478"/>
    </row>
    <row r="949" spans="1:26" ht="22.5" customHeight="1">
      <c r="A949" s="478"/>
      <c r="O949" s="478"/>
      <c r="P949" s="478"/>
      <c r="Q949" s="478"/>
      <c r="R949" s="478"/>
      <c r="S949" s="478"/>
      <c r="T949" s="478"/>
      <c r="U949" s="478"/>
      <c r="V949" s="478"/>
      <c r="W949" s="478"/>
      <c r="X949" s="478"/>
      <c r="Y949" s="478"/>
      <c r="Z949" s="478"/>
    </row>
    <row r="950" spans="1:26" ht="22.5" customHeight="1">
      <c r="A950" s="478"/>
      <c r="O950" s="478"/>
      <c r="P950" s="478"/>
      <c r="Q950" s="478"/>
      <c r="R950" s="478"/>
      <c r="S950" s="478"/>
      <c r="T950" s="478"/>
      <c r="U950" s="478"/>
      <c r="V950" s="478"/>
      <c r="W950" s="478"/>
      <c r="X950" s="478"/>
      <c r="Y950" s="478"/>
      <c r="Z950" s="478"/>
    </row>
    <row r="951" spans="1:26" ht="22.5" customHeight="1">
      <c r="A951" s="478"/>
      <c r="O951" s="478"/>
      <c r="P951" s="478"/>
      <c r="Q951" s="478"/>
      <c r="R951" s="478"/>
      <c r="S951" s="478"/>
      <c r="T951" s="478"/>
      <c r="U951" s="478"/>
      <c r="V951" s="478"/>
      <c r="W951" s="478"/>
      <c r="X951" s="478"/>
      <c r="Y951" s="478"/>
      <c r="Z951" s="478"/>
    </row>
    <row r="952" spans="1:26" ht="22.5" customHeight="1">
      <c r="A952" s="478"/>
      <c r="O952" s="478"/>
      <c r="P952" s="478"/>
      <c r="Q952" s="478"/>
      <c r="R952" s="478"/>
      <c r="S952" s="478"/>
      <c r="T952" s="478"/>
      <c r="U952" s="478"/>
      <c r="V952" s="478"/>
      <c r="W952" s="478"/>
      <c r="X952" s="478"/>
      <c r="Y952" s="478"/>
      <c r="Z952" s="478"/>
    </row>
    <row r="953" spans="1:26" ht="22.5" customHeight="1">
      <c r="A953" s="478"/>
      <c r="O953" s="478"/>
      <c r="P953" s="478"/>
      <c r="Q953" s="478"/>
      <c r="R953" s="478"/>
      <c r="S953" s="478"/>
      <c r="T953" s="478"/>
      <c r="U953" s="478"/>
      <c r="V953" s="478"/>
      <c r="W953" s="478"/>
      <c r="X953" s="478"/>
      <c r="Y953" s="478"/>
      <c r="Z953" s="478"/>
    </row>
    <row r="954" spans="1:26" ht="22.5" customHeight="1">
      <c r="A954" s="478"/>
      <c r="O954" s="478"/>
      <c r="P954" s="478"/>
      <c r="Q954" s="478"/>
      <c r="R954" s="478"/>
      <c r="S954" s="478"/>
      <c r="T954" s="478"/>
      <c r="U954" s="478"/>
      <c r="V954" s="478"/>
      <c r="W954" s="478"/>
      <c r="X954" s="478"/>
      <c r="Y954" s="478"/>
      <c r="Z954" s="478"/>
    </row>
    <row r="955" spans="1:26" ht="22.5" customHeight="1">
      <c r="A955" s="478"/>
      <c r="O955" s="478"/>
      <c r="P955" s="478"/>
      <c r="Q955" s="478"/>
      <c r="R955" s="478"/>
      <c r="S955" s="478"/>
      <c r="T955" s="478"/>
      <c r="U955" s="478"/>
      <c r="V955" s="478"/>
      <c r="W955" s="478"/>
      <c r="X955" s="478"/>
      <c r="Y955" s="478"/>
      <c r="Z955" s="478"/>
    </row>
    <row r="956" spans="1:26" ht="22.5" customHeight="1">
      <c r="A956" s="478"/>
      <c r="O956" s="478"/>
      <c r="P956" s="478"/>
      <c r="Q956" s="478"/>
      <c r="R956" s="478"/>
      <c r="S956" s="478"/>
      <c r="T956" s="478"/>
      <c r="U956" s="478"/>
      <c r="V956" s="478"/>
      <c r="W956" s="478"/>
      <c r="X956" s="478"/>
      <c r="Y956" s="478"/>
      <c r="Z956" s="478"/>
    </row>
    <row r="957" spans="1:26" ht="22.5" customHeight="1">
      <c r="A957" s="478"/>
      <c r="O957" s="478"/>
      <c r="P957" s="478"/>
      <c r="Q957" s="478"/>
      <c r="R957" s="478"/>
      <c r="S957" s="478"/>
      <c r="T957" s="478"/>
      <c r="U957" s="478"/>
      <c r="V957" s="478"/>
      <c r="W957" s="478"/>
      <c r="X957" s="478"/>
      <c r="Y957" s="478"/>
      <c r="Z957" s="478"/>
    </row>
    <row r="958" spans="1:26" ht="22.5" customHeight="1">
      <c r="A958" s="478"/>
      <c r="O958" s="478"/>
      <c r="P958" s="478"/>
      <c r="Q958" s="478"/>
      <c r="R958" s="478"/>
      <c r="S958" s="478"/>
      <c r="T958" s="478"/>
      <c r="U958" s="478"/>
      <c r="V958" s="478"/>
      <c r="W958" s="478"/>
      <c r="X958" s="478"/>
      <c r="Y958" s="478"/>
      <c r="Z958" s="478"/>
    </row>
    <row r="959" spans="1:26" ht="22.5" customHeight="1">
      <c r="A959" s="478"/>
      <c r="O959" s="478"/>
      <c r="P959" s="478"/>
      <c r="Q959" s="478"/>
      <c r="R959" s="478"/>
      <c r="S959" s="478"/>
      <c r="T959" s="478"/>
      <c r="U959" s="478"/>
      <c r="V959" s="478"/>
      <c r="W959" s="478"/>
      <c r="X959" s="478"/>
      <c r="Y959" s="478"/>
      <c r="Z959" s="478"/>
    </row>
    <row r="960" spans="1:26" ht="22.5" customHeight="1">
      <c r="A960" s="478"/>
      <c r="O960" s="478"/>
      <c r="P960" s="478"/>
      <c r="Q960" s="478"/>
      <c r="R960" s="478"/>
      <c r="S960" s="478"/>
      <c r="T960" s="478"/>
      <c r="U960" s="478"/>
      <c r="V960" s="478"/>
      <c r="W960" s="478"/>
      <c r="X960" s="478"/>
      <c r="Y960" s="478"/>
      <c r="Z960" s="478"/>
    </row>
    <row r="961" spans="1:26" ht="22.5" customHeight="1">
      <c r="A961" s="478"/>
      <c r="O961" s="478"/>
      <c r="P961" s="478"/>
      <c r="Q961" s="478"/>
      <c r="R961" s="478"/>
      <c r="S961" s="478"/>
      <c r="T961" s="478"/>
      <c r="U961" s="478"/>
      <c r="V961" s="478"/>
      <c r="W961" s="478"/>
      <c r="X961" s="478"/>
      <c r="Y961" s="478"/>
      <c r="Z961" s="478"/>
    </row>
    <row r="962" spans="1:26" ht="22.5" customHeight="1">
      <c r="A962" s="478"/>
      <c r="O962" s="478"/>
      <c r="P962" s="478"/>
      <c r="Q962" s="478"/>
      <c r="R962" s="478"/>
      <c r="S962" s="478"/>
      <c r="T962" s="478"/>
      <c r="U962" s="478"/>
      <c r="V962" s="478"/>
      <c r="W962" s="478"/>
      <c r="X962" s="478"/>
      <c r="Y962" s="478"/>
      <c r="Z962" s="478"/>
    </row>
    <row r="963" spans="1:26" ht="22.5" customHeight="1">
      <c r="A963" s="478"/>
      <c r="O963" s="478"/>
      <c r="P963" s="478"/>
      <c r="Q963" s="478"/>
      <c r="R963" s="478"/>
      <c r="S963" s="478"/>
      <c r="T963" s="478"/>
      <c r="U963" s="478"/>
      <c r="V963" s="478"/>
      <c r="W963" s="478"/>
      <c r="X963" s="478"/>
      <c r="Y963" s="478"/>
      <c r="Z963" s="478"/>
    </row>
    <row r="964" spans="1:26" ht="22.5" customHeight="1">
      <c r="A964" s="478"/>
      <c r="O964" s="478"/>
      <c r="P964" s="478"/>
      <c r="Q964" s="478"/>
      <c r="R964" s="478"/>
      <c r="S964" s="478"/>
      <c r="T964" s="478"/>
      <c r="U964" s="478"/>
      <c r="V964" s="478"/>
      <c r="W964" s="478"/>
      <c r="X964" s="478"/>
      <c r="Y964" s="478"/>
      <c r="Z964" s="478"/>
    </row>
    <row r="965" spans="1:26" ht="22.5" customHeight="1">
      <c r="A965" s="478"/>
      <c r="O965" s="478"/>
      <c r="P965" s="478"/>
      <c r="Q965" s="478"/>
      <c r="R965" s="478"/>
      <c r="S965" s="478"/>
      <c r="T965" s="478"/>
      <c r="U965" s="478"/>
      <c r="V965" s="478"/>
      <c r="W965" s="478"/>
      <c r="X965" s="478"/>
      <c r="Y965" s="478"/>
      <c r="Z965" s="478"/>
    </row>
    <row r="966" spans="1:26" ht="22.5" customHeight="1">
      <c r="A966" s="478"/>
      <c r="O966" s="478"/>
      <c r="P966" s="478"/>
      <c r="Q966" s="478"/>
      <c r="R966" s="478"/>
      <c r="S966" s="478"/>
      <c r="T966" s="478"/>
      <c r="U966" s="478"/>
      <c r="V966" s="478"/>
      <c r="W966" s="478"/>
      <c r="X966" s="478"/>
      <c r="Y966" s="478"/>
      <c r="Z966" s="478"/>
    </row>
    <row r="967" spans="1:26" ht="22.5" customHeight="1">
      <c r="A967" s="478"/>
      <c r="O967" s="478"/>
      <c r="P967" s="478"/>
      <c r="Q967" s="478"/>
      <c r="R967" s="478"/>
      <c r="S967" s="478"/>
      <c r="T967" s="478"/>
      <c r="U967" s="478"/>
      <c r="V967" s="478"/>
      <c r="W967" s="478"/>
      <c r="X967" s="478"/>
      <c r="Y967" s="478"/>
      <c r="Z967" s="478"/>
    </row>
    <row r="968" spans="1:26" ht="22.5" customHeight="1">
      <c r="A968" s="478"/>
      <c r="O968" s="478"/>
      <c r="P968" s="478"/>
      <c r="Q968" s="478"/>
      <c r="R968" s="478"/>
      <c r="S968" s="478"/>
      <c r="T968" s="478"/>
      <c r="U968" s="478"/>
      <c r="V968" s="478"/>
      <c r="W968" s="478"/>
      <c r="X968" s="478"/>
      <c r="Y968" s="478"/>
      <c r="Z968" s="478"/>
    </row>
    <row r="969" spans="1:26" ht="22.5" customHeight="1">
      <c r="A969" s="478"/>
      <c r="O969" s="478"/>
      <c r="P969" s="478"/>
      <c r="Q969" s="478"/>
      <c r="R969" s="478"/>
      <c r="S969" s="478"/>
      <c r="T969" s="478"/>
      <c r="U969" s="478"/>
      <c r="V969" s="478"/>
      <c r="W969" s="478"/>
      <c r="X969" s="478"/>
      <c r="Y969" s="478"/>
      <c r="Z969" s="478"/>
    </row>
    <row r="970" spans="1:26" ht="22.5" customHeight="1">
      <c r="A970" s="478"/>
      <c r="O970" s="478"/>
      <c r="P970" s="478"/>
      <c r="Q970" s="478"/>
      <c r="R970" s="478"/>
      <c r="S970" s="478"/>
      <c r="T970" s="478"/>
      <c r="U970" s="478"/>
      <c r="V970" s="478"/>
      <c r="W970" s="478"/>
      <c r="X970" s="478"/>
      <c r="Y970" s="478"/>
      <c r="Z970" s="478"/>
    </row>
    <row r="971" spans="1:26" ht="22.5" customHeight="1">
      <c r="A971" s="478"/>
      <c r="O971" s="478"/>
      <c r="P971" s="478"/>
      <c r="Q971" s="478"/>
      <c r="R971" s="478"/>
      <c r="S971" s="478"/>
      <c r="T971" s="478"/>
      <c r="U971" s="478"/>
      <c r="V971" s="478"/>
      <c r="W971" s="478"/>
      <c r="X971" s="478"/>
      <c r="Y971" s="478"/>
      <c r="Z971" s="478"/>
    </row>
    <row r="972" spans="1:26" ht="22.5" customHeight="1">
      <c r="A972" s="478"/>
      <c r="O972" s="478"/>
      <c r="P972" s="478"/>
      <c r="Q972" s="478"/>
      <c r="R972" s="478"/>
      <c r="S972" s="478"/>
      <c r="T972" s="478"/>
      <c r="U972" s="478"/>
      <c r="V972" s="478"/>
      <c r="W972" s="478"/>
      <c r="X972" s="478"/>
      <c r="Y972" s="478"/>
      <c r="Z972" s="478"/>
    </row>
    <row r="973" spans="1:26" ht="22.5" customHeight="1">
      <c r="A973" s="478"/>
      <c r="O973" s="478"/>
      <c r="P973" s="478"/>
      <c r="Q973" s="478"/>
      <c r="R973" s="478"/>
      <c r="S973" s="478"/>
      <c r="T973" s="478"/>
      <c r="U973" s="478"/>
      <c r="V973" s="478"/>
      <c r="W973" s="478"/>
      <c r="X973" s="478"/>
      <c r="Y973" s="478"/>
      <c r="Z973" s="478"/>
    </row>
    <row r="974" spans="1:26" ht="22.5" customHeight="1">
      <c r="A974" s="478"/>
      <c r="O974" s="478"/>
      <c r="P974" s="478"/>
      <c r="Q974" s="478"/>
      <c r="R974" s="478"/>
      <c r="S974" s="478"/>
      <c r="T974" s="478"/>
      <c r="U974" s="478"/>
      <c r="V974" s="478"/>
      <c r="W974" s="478"/>
      <c r="X974" s="478"/>
      <c r="Y974" s="478"/>
      <c r="Z974" s="478"/>
    </row>
    <row r="975" spans="1:26" ht="22.5" customHeight="1">
      <c r="A975" s="478"/>
      <c r="O975" s="478"/>
      <c r="P975" s="478"/>
      <c r="Q975" s="478"/>
      <c r="R975" s="478"/>
      <c r="S975" s="478"/>
      <c r="T975" s="478"/>
      <c r="U975" s="478"/>
      <c r="V975" s="478"/>
      <c r="W975" s="478"/>
      <c r="X975" s="478"/>
      <c r="Y975" s="478"/>
      <c r="Z975" s="478"/>
    </row>
    <row r="976" spans="1:26" ht="22.5" customHeight="1">
      <c r="A976" s="478"/>
      <c r="O976" s="478"/>
      <c r="P976" s="478"/>
      <c r="Q976" s="478"/>
      <c r="R976" s="478"/>
      <c r="S976" s="478"/>
      <c r="T976" s="478"/>
      <c r="U976" s="478"/>
      <c r="V976" s="478"/>
      <c r="W976" s="478"/>
      <c r="X976" s="478"/>
      <c r="Y976" s="478"/>
      <c r="Z976" s="478"/>
    </row>
    <row r="977" spans="1:26" ht="22.5" customHeight="1">
      <c r="A977" s="478"/>
      <c r="O977" s="478"/>
      <c r="P977" s="478"/>
      <c r="Q977" s="478"/>
      <c r="R977" s="478"/>
      <c r="S977" s="478"/>
      <c r="T977" s="478"/>
      <c r="U977" s="478"/>
      <c r="V977" s="478"/>
      <c r="W977" s="478"/>
      <c r="X977" s="478"/>
      <c r="Y977" s="478"/>
      <c r="Z977" s="478"/>
    </row>
    <row r="978" spans="1:26" ht="22.5" customHeight="1">
      <c r="A978" s="478"/>
      <c r="O978" s="478"/>
      <c r="P978" s="478"/>
      <c r="Q978" s="478"/>
      <c r="R978" s="478"/>
      <c r="S978" s="478"/>
      <c r="T978" s="478"/>
      <c r="U978" s="478"/>
      <c r="V978" s="478"/>
      <c r="W978" s="478"/>
      <c r="X978" s="478"/>
      <c r="Y978" s="478"/>
      <c r="Z978" s="478"/>
    </row>
    <row r="979" spans="1:26" ht="22.5" customHeight="1">
      <c r="A979" s="478"/>
      <c r="O979" s="478"/>
      <c r="P979" s="478"/>
      <c r="Q979" s="478"/>
      <c r="R979" s="478"/>
      <c r="S979" s="478"/>
      <c r="T979" s="478"/>
      <c r="U979" s="478"/>
      <c r="V979" s="478"/>
      <c r="W979" s="478"/>
      <c r="X979" s="478"/>
      <c r="Y979" s="478"/>
      <c r="Z979" s="478"/>
    </row>
    <row r="980" spans="1:26" ht="22.5" customHeight="1">
      <c r="A980" s="478"/>
      <c r="O980" s="478"/>
      <c r="P980" s="478"/>
      <c r="Q980" s="478"/>
      <c r="R980" s="478"/>
      <c r="S980" s="478"/>
      <c r="T980" s="478"/>
      <c r="U980" s="478"/>
      <c r="V980" s="478"/>
      <c r="W980" s="478"/>
      <c r="X980" s="478"/>
      <c r="Y980" s="478"/>
      <c r="Z980" s="478"/>
    </row>
    <row r="981" spans="1:26" ht="22.5" customHeight="1">
      <c r="A981" s="478"/>
      <c r="O981" s="478"/>
      <c r="P981" s="478"/>
      <c r="Q981" s="478"/>
      <c r="R981" s="478"/>
      <c r="S981" s="478"/>
      <c r="T981" s="478"/>
      <c r="U981" s="478"/>
      <c r="V981" s="478"/>
      <c r="W981" s="478"/>
      <c r="X981" s="478"/>
      <c r="Y981" s="478"/>
      <c r="Z981" s="478"/>
    </row>
    <row r="982" spans="1:26" ht="22.5" customHeight="1">
      <c r="A982" s="478"/>
      <c r="O982" s="478"/>
      <c r="P982" s="478"/>
      <c r="Q982" s="478"/>
      <c r="R982" s="478"/>
      <c r="S982" s="478"/>
      <c r="T982" s="478"/>
      <c r="U982" s="478"/>
      <c r="V982" s="478"/>
      <c r="W982" s="478"/>
      <c r="X982" s="478"/>
      <c r="Y982" s="478"/>
      <c r="Z982" s="478"/>
    </row>
    <row r="983" spans="1:26" ht="22.5" customHeight="1">
      <c r="A983" s="478"/>
      <c r="O983" s="478"/>
      <c r="P983" s="478"/>
      <c r="Q983" s="478"/>
      <c r="R983" s="478"/>
      <c r="S983" s="478"/>
      <c r="T983" s="478"/>
      <c r="U983" s="478"/>
      <c r="V983" s="478"/>
      <c r="W983" s="478"/>
      <c r="X983" s="478"/>
      <c r="Y983" s="478"/>
      <c r="Z983" s="478"/>
    </row>
    <row r="984" spans="1:26" ht="22.5" customHeight="1">
      <c r="A984" s="478"/>
      <c r="O984" s="478"/>
      <c r="P984" s="478"/>
      <c r="Q984" s="478"/>
      <c r="R984" s="478"/>
      <c r="S984" s="478"/>
      <c r="T984" s="478"/>
      <c r="U984" s="478"/>
      <c r="V984" s="478"/>
      <c r="W984" s="478"/>
      <c r="X984" s="478"/>
      <c r="Y984" s="478"/>
      <c r="Z984" s="478"/>
    </row>
    <row r="985" spans="1:26" ht="22.5" customHeight="1">
      <c r="A985" s="478"/>
      <c r="O985" s="478"/>
      <c r="P985" s="478"/>
      <c r="Q985" s="478"/>
      <c r="R985" s="478"/>
      <c r="S985" s="478"/>
      <c r="T985" s="478"/>
      <c r="U985" s="478"/>
      <c r="V985" s="478"/>
      <c r="W985" s="478"/>
      <c r="X985" s="478"/>
      <c r="Y985" s="478"/>
      <c r="Z985" s="478"/>
    </row>
    <row r="986" spans="1:26" ht="22.5" customHeight="1">
      <c r="A986" s="478"/>
      <c r="O986" s="478"/>
      <c r="P986" s="478"/>
      <c r="Q986" s="478"/>
      <c r="R986" s="478"/>
      <c r="S986" s="478"/>
      <c r="T986" s="478"/>
      <c r="U986" s="478"/>
      <c r="V986" s="478"/>
      <c r="W986" s="478"/>
      <c r="X986" s="478"/>
      <c r="Y986" s="478"/>
      <c r="Z986" s="478"/>
    </row>
    <row r="987" spans="1:26" ht="22.5" customHeight="1">
      <c r="A987" s="478"/>
      <c r="O987" s="478"/>
      <c r="P987" s="478"/>
      <c r="Q987" s="478"/>
      <c r="R987" s="478"/>
      <c r="S987" s="478"/>
      <c r="T987" s="478"/>
      <c r="U987" s="478"/>
      <c r="V987" s="478"/>
      <c r="W987" s="478"/>
      <c r="X987" s="478"/>
      <c r="Y987" s="478"/>
      <c r="Z987" s="478"/>
    </row>
    <row r="988" spans="1:26" ht="22.5" customHeight="1">
      <c r="A988" s="478"/>
      <c r="O988" s="478"/>
      <c r="P988" s="478"/>
      <c r="Q988" s="478"/>
      <c r="R988" s="478"/>
      <c r="S988" s="478"/>
      <c r="T988" s="478"/>
      <c r="U988" s="478"/>
      <c r="V988" s="478"/>
      <c r="W988" s="478"/>
      <c r="X988" s="478"/>
      <c r="Y988" s="478"/>
      <c r="Z988" s="478"/>
    </row>
    <row r="989" spans="1:26" ht="22.5" customHeight="1">
      <c r="A989" s="478"/>
      <c r="O989" s="478"/>
      <c r="P989" s="478"/>
      <c r="Q989" s="478"/>
      <c r="R989" s="478"/>
      <c r="S989" s="478"/>
      <c r="T989" s="478"/>
      <c r="U989" s="478"/>
      <c r="V989" s="478"/>
      <c r="W989" s="478"/>
      <c r="X989" s="478"/>
      <c r="Y989" s="478"/>
      <c r="Z989" s="478"/>
    </row>
    <row r="990" spans="1:26" ht="22.5" customHeight="1">
      <c r="A990" s="478"/>
      <c r="O990" s="478"/>
      <c r="P990" s="478"/>
      <c r="Q990" s="478"/>
      <c r="R990" s="478"/>
      <c r="S990" s="478"/>
      <c r="T990" s="478"/>
      <c r="U990" s="478"/>
      <c r="V990" s="478"/>
      <c r="W990" s="478"/>
      <c r="X990" s="478"/>
      <c r="Y990" s="478"/>
      <c r="Z990" s="478"/>
    </row>
    <row r="991" spans="1:26" ht="22.5" customHeight="1">
      <c r="A991" s="478"/>
      <c r="O991" s="478"/>
      <c r="P991" s="478"/>
      <c r="Q991" s="478"/>
      <c r="R991" s="478"/>
      <c r="S991" s="478"/>
      <c r="T991" s="478"/>
      <c r="U991" s="478"/>
      <c r="V991" s="478"/>
      <c r="W991" s="478"/>
      <c r="X991" s="478"/>
      <c r="Y991" s="478"/>
      <c r="Z991" s="478"/>
    </row>
    <row r="992" spans="1:26" ht="22.5" customHeight="1">
      <c r="A992" s="478"/>
      <c r="O992" s="478"/>
      <c r="P992" s="478"/>
      <c r="Q992" s="478"/>
      <c r="R992" s="478"/>
      <c r="S992" s="478"/>
      <c r="T992" s="478"/>
      <c r="U992" s="478"/>
      <c r="V992" s="478"/>
      <c r="W992" s="478"/>
      <c r="X992" s="478"/>
      <c r="Y992" s="478"/>
      <c r="Z992" s="478"/>
    </row>
    <row r="993" spans="1:26" ht="22.5" customHeight="1">
      <c r="A993" s="478"/>
      <c r="O993" s="478"/>
      <c r="P993" s="478"/>
      <c r="Q993" s="478"/>
      <c r="R993" s="478"/>
      <c r="S993" s="478"/>
      <c r="T993" s="478"/>
      <c r="U993" s="478"/>
      <c r="V993" s="478"/>
      <c r="W993" s="478"/>
      <c r="X993" s="478"/>
      <c r="Y993" s="478"/>
      <c r="Z993" s="478"/>
    </row>
    <row r="994" spans="1:26" ht="22.5" customHeight="1">
      <c r="A994" s="478"/>
      <c r="O994" s="478"/>
      <c r="P994" s="478"/>
      <c r="Q994" s="478"/>
      <c r="R994" s="478"/>
      <c r="S994" s="478"/>
      <c r="T994" s="478"/>
      <c r="U994" s="478"/>
      <c r="V994" s="478"/>
      <c r="W994" s="478"/>
      <c r="X994" s="478"/>
      <c r="Y994" s="478"/>
      <c r="Z994" s="478"/>
    </row>
    <row r="995" spans="1:26" ht="22.5" customHeight="1">
      <c r="A995" s="478"/>
      <c r="O995" s="478"/>
      <c r="P995" s="478"/>
      <c r="Q995" s="478"/>
      <c r="R995" s="478"/>
      <c r="S995" s="478"/>
      <c r="T995" s="478"/>
      <c r="U995" s="478"/>
      <c r="V995" s="478"/>
      <c r="W995" s="478"/>
      <c r="X995" s="478"/>
      <c r="Y995" s="478"/>
      <c r="Z995" s="478"/>
    </row>
    <row r="996" spans="1:26" ht="22.5" customHeight="1">
      <c r="A996" s="478"/>
      <c r="O996" s="478"/>
      <c r="P996" s="478"/>
      <c r="Q996" s="478"/>
      <c r="R996" s="478"/>
      <c r="S996" s="478"/>
      <c r="T996" s="478"/>
      <c r="U996" s="478"/>
      <c r="V996" s="478"/>
      <c r="W996" s="478"/>
      <c r="X996" s="478"/>
      <c r="Y996" s="478"/>
      <c r="Z996" s="478"/>
    </row>
    <row r="997" spans="1:26" ht="22.5" customHeight="1">
      <c r="A997" s="478"/>
      <c r="O997" s="478"/>
      <c r="P997" s="478"/>
      <c r="Q997" s="478"/>
      <c r="R997" s="478"/>
      <c r="S997" s="478"/>
      <c r="T997" s="478"/>
      <c r="U997" s="478"/>
      <c r="V997" s="478"/>
      <c r="W997" s="478"/>
      <c r="X997" s="478"/>
      <c r="Y997" s="478"/>
      <c r="Z997" s="478"/>
    </row>
    <row r="998" spans="1:26" ht="22.5" customHeight="1">
      <c r="A998" s="478"/>
      <c r="O998" s="478"/>
      <c r="P998" s="478"/>
      <c r="Q998" s="478"/>
      <c r="R998" s="478"/>
      <c r="S998" s="478"/>
      <c r="T998" s="478"/>
      <c r="U998" s="478"/>
      <c r="V998" s="478"/>
      <c r="W998" s="478"/>
      <c r="X998" s="478"/>
      <c r="Y998" s="478"/>
      <c r="Z998" s="478"/>
    </row>
    <row r="999" spans="1:26" ht="22.5" customHeight="1">
      <c r="A999" s="478"/>
      <c r="O999" s="478"/>
      <c r="P999" s="478"/>
      <c r="Q999" s="478"/>
      <c r="R999" s="478"/>
      <c r="S999" s="478"/>
      <c r="T999" s="478"/>
      <c r="U999" s="478"/>
      <c r="V999" s="478"/>
      <c r="W999" s="478"/>
      <c r="X999" s="478"/>
      <c r="Y999" s="478"/>
      <c r="Z999" s="478"/>
    </row>
    <row r="1000" spans="1:26" ht="22.5" customHeight="1">
      <c r="A1000" s="478"/>
      <c r="O1000" s="478"/>
      <c r="P1000" s="478"/>
      <c r="Q1000" s="478"/>
      <c r="R1000" s="478"/>
      <c r="S1000" s="478"/>
      <c r="T1000" s="478"/>
      <c r="U1000" s="478"/>
      <c r="V1000" s="478"/>
      <c r="W1000" s="478"/>
      <c r="X1000" s="478"/>
      <c r="Y1000" s="478"/>
      <c r="Z1000" s="478"/>
    </row>
    <row r="1001" spans="1:26" ht="22.5" customHeight="1">
      <c r="A1001" s="478"/>
      <c r="O1001" s="478"/>
      <c r="P1001" s="478"/>
      <c r="Q1001" s="478"/>
      <c r="R1001" s="478"/>
      <c r="S1001" s="478"/>
      <c r="T1001" s="478"/>
      <c r="U1001" s="478"/>
      <c r="V1001" s="478"/>
      <c r="W1001" s="478"/>
      <c r="X1001" s="478"/>
      <c r="Y1001" s="478"/>
      <c r="Z1001" s="478"/>
    </row>
    <row r="1002" spans="1:26" ht="22.5" customHeight="1">
      <c r="A1002" s="478"/>
      <c r="O1002" s="478"/>
      <c r="P1002" s="478"/>
      <c r="Q1002" s="478"/>
      <c r="R1002" s="478"/>
      <c r="S1002" s="478"/>
      <c r="T1002" s="478"/>
      <c r="U1002" s="478"/>
      <c r="V1002" s="478"/>
      <c r="W1002" s="478"/>
      <c r="X1002" s="478"/>
      <c r="Y1002" s="478"/>
      <c r="Z1002" s="478"/>
    </row>
    <row r="1003" spans="1:26" ht="22.5" customHeight="1">
      <c r="A1003" s="478"/>
      <c r="O1003" s="478"/>
      <c r="P1003" s="478"/>
      <c r="Q1003" s="478"/>
      <c r="R1003" s="478"/>
      <c r="S1003" s="478"/>
      <c r="T1003" s="478"/>
      <c r="U1003" s="478"/>
      <c r="V1003" s="478"/>
      <c r="W1003" s="478"/>
      <c r="X1003" s="478"/>
      <c r="Y1003" s="478"/>
      <c r="Z1003" s="478"/>
    </row>
    <row r="1004" spans="1:26" ht="22.5" customHeight="1">
      <c r="A1004" s="478"/>
      <c r="O1004" s="478"/>
      <c r="P1004" s="478"/>
      <c r="Q1004" s="478"/>
      <c r="R1004" s="478"/>
      <c r="S1004" s="478"/>
      <c r="T1004" s="478"/>
      <c r="U1004" s="478"/>
      <c r="V1004" s="478"/>
      <c r="W1004" s="478"/>
      <c r="X1004" s="478"/>
      <c r="Y1004" s="478"/>
      <c r="Z1004" s="478"/>
    </row>
    <row r="1005" spans="1:26" ht="22.5" customHeight="1">
      <c r="A1005" s="478"/>
      <c r="O1005" s="478"/>
      <c r="P1005" s="478"/>
      <c r="Q1005" s="478"/>
      <c r="R1005" s="478"/>
      <c r="S1005" s="478"/>
      <c r="T1005" s="478"/>
      <c r="U1005" s="478"/>
      <c r="V1005" s="478"/>
      <c r="W1005" s="478"/>
      <c r="X1005" s="478"/>
      <c r="Y1005" s="478"/>
      <c r="Z1005" s="478"/>
    </row>
    <row r="1006" spans="1:26" ht="22.5" customHeight="1">
      <c r="A1006" s="478"/>
      <c r="O1006" s="478"/>
      <c r="P1006" s="478"/>
      <c r="Q1006" s="478"/>
      <c r="R1006" s="478"/>
      <c r="S1006" s="478"/>
      <c r="T1006" s="478"/>
      <c r="U1006" s="478"/>
      <c r="V1006" s="478"/>
      <c r="W1006" s="478"/>
      <c r="X1006" s="478"/>
      <c r="Y1006" s="478"/>
      <c r="Z1006" s="478"/>
    </row>
    <row r="1007" spans="1:26" ht="22.5" customHeight="1">
      <c r="A1007" s="478"/>
      <c r="O1007" s="478"/>
      <c r="P1007" s="478"/>
      <c r="Q1007" s="478"/>
      <c r="R1007" s="478"/>
      <c r="S1007" s="478"/>
      <c r="T1007" s="478"/>
      <c r="U1007" s="478"/>
      <c r="V1007" s="478"/>
      <c r="W1007" s="478"/>
      <c r="X1007" s="478"/>
      <c r="Y1007" s="478"/>
      <c r="Z1007" s="478"/>
    </row>
    <row r="1008" spans="1:26" ht="22.5" customHeight="1">
      <c r="A1008" s="478"/>
      <c r="O1008" s="478"/>
      <c r="P1008" s="478"/>
      <c r="Q1008" s="478"/>
      <c r="R1008" s="478"/>
      <c r="S1008" s="478"/>
      <c r="T1008" s="478"/>
      <c r="U1008" s="478"/>
      <c r="V1008" s="478"/>
      <c r="W1008" s="478"/>
      <c r="X1008" s="478"/>
      <c r="Y1008" s="478"/>
      <c r="Z1008" s="478"/>
    </row>
    <row r="1009" spans="1:26" ht="22.5" customHeight="1">
      <c r="A1009" s="478"/>
      <c r="O1009" s="478"/>
      <c r="P1009" s="478"/>
      <c r="Q1009" s="478"/>
      <c r="R1009" s="478"/>
      <c r="S1009" s="478"/>
      <c r="T1009" s="478"/>
      <c r="U1009" s="478"/>
      <c r="V1009" s="478"/>
      <c r="W1009" s="478"/>
      <c r="X1009" s="478"/>
      <c r="Y1009" s="478"/>
      <c r="Z1009" s="478"/>
    </row>
    <row r="1010" spans="1:26" ht="22.5" customHeight="1">
      <c r="A1010" s="478"/>
      <c r="O1010" s="478"/>
      <c r="P1010" s="478"/>
      <c r="Q1010" s="478"/>
      <c r="R1010" s="478"/>
      <c r="S1010" s="478"/>
      <c r="T1010" s="478"/>
      <c r="U1010" s="478"/>
      <c r="V1010" s="478"/>
      <c r="W1010" s="478"/>
      <c r="X1010" s="478"/>
      <c r="Y1010" s="478"/>
      <c r="Z1010" s="478"/>
    </row>
    <row r="1011" spans="1:26" ht="22.5" customHeight="1">
      <c r="A1011" s="478"/>
      <c r="O1011" s="478"/>
      <c r="P1011" s="478"/>
      <c r="Q1011" s="478"/>
      <c r="R1011" s="478"/>
      <c r="S1011" s="478"/>
      <c r="T1011" s="478"/>
      <c r="U1011" s="478"/>
      <c r="V1011" s="478"/>
      <c r="W1011" s="478"/>
      <c r="X1011" s="478"/>
      <c r="Y1011" s="478"/>
      <c r="Z1011" s="478"/>
    </row>
    <row r="1012" spans="1:26" ht="22.5" customHeight="1">
      <c r="A1012" s="478"/>
      <c r="O1012" s="478"/>
      <c r="P1012" s="478"/>
      <c r="Q1012" s="478"/>
      <c r="R1012" s="478"/>
      <c r="S1012" s="478"/>
      <c r="T1012" s="478"/>
      <c r="U1012" s="478"/>
      <c r="V1012" s="478"/>
      <c r="W1012" s="478"/>
      <c r="X1012" s="478"/>
      <c r="Y1012" s="478"/>
      <c r="Z1012" s="478"/>
    </row>
    <row r="1013" spans="1:26" ht="22.5" customHeight="1">
      <c r="A1013" s="478"/>
      <c r="O1013" s="478"/>
      <c r="P1013" s="478"/>
      <c r="Q1013" s="478"/>
      <c r="R1013" s="478"/>
      <c r="S1013" s="478"/>
      <c r="T1013" s="478"/>
      <c r="U1013" s="478"/>
      <c r="V1013" s="478"/>
      <c r="W1013" s="478"/>
      <c r="X1013" s="478"/>
      <c r="Y1013" s="478"/>
      <c r="Z1013" s="478"/>
    </row>
  </sheetData>
  <mergeCells count="3">
    <mergeCell ref="B20:C20"/>
    <mergeCell ref="S20:T20"/>
    <mergeCell ref="A14:C14"/>
  </mergeCells>
  <hyperlinks>
    <hyperlink ref="J12" r:id="rId1" xr:uid="{ACC89B00-9D65-4ED5-9F3D-617138A628B0}"/>
  </hyperlinks>
  <pageMargins left="0.7" right="0.7" top="0.75" bottom="0.75" header="0" footer="0"/>
  <pageSetup orientation="portrait"/>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Metrics for Leaders</vt:lpstr>
      <vt:lpstr>Metrics for Sales </vt:lpstr>
      <vt:lpstr>KPIs for Customer Centricity</vt:lpstr>
      <vt:lpstr>Metrics for SDRs</vt:lpstr>
      <vt:lpstr>Pipeline Management</vt:lpstr>
      <vt:lpstr>Leadgen Basic Budget Planning</vt:lpstr>
      <vt:lpstr>Your Most Valuable Sales</vt:lpstr>
      <vt:lpstr>Speaking like your CFO</vt:lpstr>
      <vt:lpstr>Crush the numbers</vt:lpstr>
      <vt:lpstr>Dicounted CF Automated</vt:lpstr>
      <vt:lpstr>Train your sales force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Bruno Sireyjol</cp:lastModifiedBy>
  <cp:revision/>
  <dcterms:created xsi:type="dcterms:W3CDTF">2023-04-06T12:57:57Z</dcterms:created>
  <dcterms:modified xsi:type="dcterms:W3CDTF">2023-11-06T08:22:34Z</dcterms:modified>
  <cp:category/>
  <cp:contentStatus/>
</cp:coreProperties>
</file>